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hidePivotFieldList="1"/>
  <xr:revisionPtr revIDLastSave="190" documentId="8_{2F0245F1-A58C-4E6D-90F0-E25CC2C28CAD}" xr6:coauthVersionLast="47" xr6:coauthVersionMax="47" xr10:uidLastSave="{803AD6F4-A1CB-4BC3-A979-E24BACA45BA1}"/>
  <bookViews>
    <workbookView xWindow="23220" yWindow="405" windowWidth="23040" windowHeight="19395" xr2:uid="{00000000-000D-0000-FFFF-FFFF00000000}"/>
  </bookViews>
  <sheets>
    <sheet name="Gross Margin Comparison" sheetId="2" r:id="rId1"/>
    <sheet name="Cotton#1" sheetId="7" r:id="rId2"/>
    <sheet name="Cotton#2" sheetId="10" r:id="rId3"/>
  </sheets>
  <definedNames>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FALSE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cotton.yield">'Gross Margin Comparison'!$D$8</definedName>
    <definedName name="cotton.yield2">'Gross Margin Comparison'!$D$10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20000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5" i="10" l="1"/>
  <c r="E95" i="7"/>
  <c r="J59" i="10"/>
  <c r="I59" i="10" s="1"/>
  <c r="J57" i="10"/>
  <c r="I57" i="10" s="1"/>
  <c r="J56" i="10"/>
  <c r="I56" i="10" s="1"/>
  <c r="J55" i="10"/>
  <c r="I55" i="10" s="1"/>
  <c r="J54" i="10"/>
  <c r="I54" i="10" s="1"/>
  <c r="J53" i="10"/>
  <c r="I53" i="10" s="1"/>
  <c r="J52" i="10"/>
  <c r="I52" i="10" s="1"/>
  <c r="J51" i="10"/>
  <c r="I51" i="10"/>
  <c r="J50" i="10"/>
  <c r="I50" i="10" s="1"/>
  <c r="J49" i="10"/>
  <c r="I49" i="10" s="1"/>
  <c r="J20" i="10"/>
  <c r="I20" i="10" s="1"/>
  <c r="J115" i="7"/>
  <c r="J51" i="7"/>
  <c r="I51" i="7" s="1"/>
  <c r="J52" i="7"/>
  <c r="I52" i="7" s="1"/>
  <c r="J50" i="7"/>
  <c r="I50" i="7" s="1"/>
  <c r="J20" i="7"/>
  <c r="I20" i="7" s="1"/>
  <c r="J46" i="10" l="1"/>
  <c r="I46" i="10" s="1"/>
  <c r="J45" i="10"/>
  <c r="I45" i="10" s="1"/>
  <c r="J44" i="10"/>
  <c r="I44" i="10" s="1"/>
  <c r="J42" i="10"/>
  <c r="I42" i="10" s="1"/>
  <c r="J41" i="10"/>
  <c r="I41" i="10" s="1"/>
  <c r="J40" i="10"/>
  <c r="I40" i="10" s="1"/>
  <c r="J39" i="10"/>
  <c r="I39" i="10" s="1"/>
  <c r="J38" i="10"/>
  <c r="I38" i="10" s="1"/>
  <c r="J37" i="10"/>
  <c r="I37" i="10" s="1"/>
  <c r="J27" i="10"/>
  <c r="I27" i="10" s="1"/>
  <c r="J26" i="10"/>
  <c r="I26" i="10" s="1"/>
  <c r="J23" i="10"/>
  <c r="I23" i="10" s="1"/>
  <c r="J25" i="10"/>
  <c r="I25" i="10" s="1"/>
  <c r="J24" i="10"/>
  <c r="I24" i="10" s="1"/>
  <c r="J22" i="10"/>
  <c r="I22" i="10" s="1"/>
  <c r="J21" i="10"/>
  <c r="I21" i="10" s="1"/>
  <c r="J19" i="10"/>
  <c r="I19" i="10" s="1"/>
  <c r="J18" i="10"/>
  <c r="I18" i="10" s="1"/>
  <c r="J17" i="10"/>
  <c r="I17" i="10" s="1"/>
  <c r="G11" i="7"/>
  <c r="J63" i="7"/>
  <c r="I63" i="7" s="1"/>
  <c r="J58" i="7"/>
  <c r="I58" i="7" s="1"/>
  <c r="E131" i="10"/>
  <c r="G64" i="2" s="1"/>
  <c r="E95" i="10"/>
  <c r="J95" i="10" s="1"/>
  <c r="E135" i="10" s="1"/>
  <c r="G68" i="2" s="1"/>
  <c r="J117" i="10"/>
  <c r="J116" i="10"/>
  <c r="I114" i="10"/>
  <c r="J114" i="10" s="1"/>
  <c r="I113" i="10"/>
  <c r="J103" i="10"/>
  <c r="E133" i="10" s="1"/>
  <c r="G66" i="2" s="1"/>
  <c r="E129" i="7"/>
  <c r="F64" i="2" s="1"/>
  <c r="E11" i="10"/>
  <c r="J58" i="10"/>
  <c r="I58" i="10" s="1"/>
  <c r="J59" i="7"/>
  <c r="I59" i="7" s="1"/>
  <c r="J103" i="7"/>
  <c r="E131" i="7" s="1"/>
  <c r="F66" i="2" s="1"/>
  <c r="J74" i="10"/>
  <c r="I74" i="10" s="1"/>
  <c r="J75" i="7"/>
  <c r="I75" i="7" s="1"/>
  <c r="J13" i="10"/>
  <c r="J110" i="10"/>
  <c r="E134" i="10" s="1"/>
  <c r="G67" i="2" s="1"/>
  <c r="J92" i="10"/>
  <c r="I92" i="10" s="1"/>
  <c r="J91" i="10"/>
  <c r="I91" i="10" s="1"/>
  <c r="J89" i="10"/>
  <c r="I89" i="10" s="1"/>
  <c r="J88" i="10"/>
  <c r="I88" i="10" s="1"/>
  <c r="J87" i="10"/>
  <c r="I87" i="10" s="1"/>
  <c r="J86" i="10"/>
  <c r="I86" i="10" s="1"/>
  <c r="J85" i="10"/>
  <c r="I85" i="10" s="1"/>
  <c r="J84" i="10"/>
  <c r="I84" i="10" s="1"/>
  <c r="J83" i="10"/>
  <c r="I83" i="10" s="1"/>
  <c r="J80" i="10"/>
  <c r="I80" i="10" s="1"/>
  <c r="J79" i="10"/>
  <c r="I79" i="10" s="1"/>
  <c r="J77" i="10"/>
  <c r="I77" i="10" s="1"/>
  <c r="J76" i="10"/>
  <c r="I76" i="10" s="1"/>
  <c r="J75" i="10"/>
  <c r="I75" i="10" s="1"/>
  <c r="J73" i="10"/>
  <c r="I73" i="10" s="1"/>
  <c r="J72" i="10"/>
  <c r="I72" i="10" s="1"/>
  <c r="J71" i="10"/>
  <c r="I71" i="10" s="1"/>
  <c r="J70" i="10"/>
  <c r="I70" i="10" s="1"/>
  <c r="J67" i="10"/>
  <c r="I67" i="10" s="1"/>
  <c r="J66" i="10"/>
  <c r="I66" i="10" s="1"/>
  <c r="J65" i="10"/>
  <c r="I65" i="10" s="1"/>
  <c r="J63" i="10"/>
  <c r="I63" i="10" s="1"/>
  <c r="J62" i="10"/>
  <c r="I62" i="10" s="1"/>
  <c r="J61" i="10"/>
  <c r="I61" i="10" s="1"/>
  <c r="J60" i="10"/>
  <c r="I60" i="10" s="1"/>
  <c r="J34" i="10"/>
  <c r="I34" i="10" s="1"/>
  <c r="J32" i="10"/>
  <c r="J29" i="10"/>
  <c r="I29" i="10" s="1"/>
  <c r="J28" i="10"/>
  <c r="I28" i="10" s="1"/>
  <c r="E140" i="10" l="1"/>
  <c r="G73" i="2" s="1"/>
  <c r="E138" i="10"/>
  <c r="G71" i="2" s="1"/>
  <c r="E141" i="10"/>
  <c r="G74" i="2" s="1"/>
  <c r="E136" i="10"/>
  <c r="G69" i="2" s="1"/>
  <c r="I32" i="10"/>
  <c r="I95" i="10"/>
  <c r="E137" i="10"/>
  <c r="G70" i="2" s="1"/>
  <c r="E139" i="10"/>
  <c r="G72" i="2" s="1"/>
  <c r="M48" i="2"/>
  <c r="M49" i="2" s="1"/>
  <c r="M50" i="2" s="1"/>
  <c r="M46" i="2"/>
  <c r="M45" i="2" s="1"/>
  <c r="M44" i="2" s="1"/>
  <c r="Q42" i="2"/>
  <c r="R42" i="2" s="1"/>
  <c r="S42" i="2" s="1"/>
  <c r="M34" i="2"/>
  <c r="M35" i="2" s="1"/>
  <c r="M36" i="2" s="1"/>
  <c r="M32" i="2"/>
  <c r="M31" i="2" s="1"/>
  <c r="M30" i="2" s="1"/>
  <c r="Q28" i="2"/>
  <c r="R28" i="2" s="1"/>
  <c r="S28" i="2" s="1"/>
  <c r="C48" i="2"/>
  <c r="C49" i="2" s="1"/>
  <c r="C50" i="2" s="1"/>
  <c r="C46" i="2"/>
  <c r="C45" i="2" s="1"/>
  <c r="C44" i="2" s="1"/>
  <c r="G42" i="2"/>
  <c r="H42" i="2" s="1"/>
  <c r="I42" i="2" s="1"/>
  <c r="J84" i="7" l="1"/>
  <c r="J8" i="10" l="1"/>
  <c r="J8" i="7"/>
  <c r="G14" i="7"/>
  <c r="G11" i="10"/>
  <c r="G15" i="10" s="1"/>
  <c r="C133" i="7"/>
  <c r="C130" i="7"/>
  <c r="C129" i="7"/>
  <c r="J11" i="10" l="1"/>
  <c r="G15" i="7"/>
  <c r="C32" i="2"/>
  <c r="C31" i="2" s="1"/>
  <c r="C30" i="2" s="1"/>
  <c r="J12" i="10"/>
  <c r="J14" i="10" l="1"/>
  <c r="C34" i="2"/>
  <c r="C35" i="2" s="1"/>
  <c r="C36" i="2" s="1"/>
  <c r="F10" i="2" l="1"/>
  <c r="G28" i="2"/>
  <c r="H28" i="2" s="1"/>
  <c r="I28" i="2" s="1"/>
  <c r="J34" i="7"/>
  <c r="J41" i="7"/>
  <c r="J39" i="7"/>
  <c r="J24" i="7"/>
  <c r="J57" i="7" l="1"/>
  <c r="J56" i="7"/>
  <c r="J53" i="7"/>
  <c r="J28" i="7"/>
  <c r="J29" i="7"/>
  <c r="J70" i="7"/>
  <c r="J32" i="7"/>
  <c r="E138" i="7" s="1"/>
  <c r="F73" i="2" s="1"/>
  <c r="J67" i="7"/>
  <c r="J66" i="7"/>
  <c r="J79" i="7"/>
  <c r="J91" i="7"/>
  <c r="J88" i="7"/>
  <c r="J89" i="7"/>
  <c r="J92" i="7"/>
  <c r="J25" i="7"/>
  <c r="J23" i="7"/>
  <c r="J26" i="7"/>
  <c r="J27" i="7"/>
  <c r="I114" i="7"/>
  <c r="J85" i="7"/>
  <c r="J86" i="7"/>
  <c r="J87" i="7"/>
  <c r="J83" i="7"/>
  <c r="J71" i="7"/>
  <c r="J60" i="7"/>
  <c r="J61" i="7"/>
  <c r="J95" i="7"/>
  <c r="E133" i="7" s="1"/>
  <c r="J62" i="7"/>
  <c r="J72" i="7"/>
  <c r="J73" i="7"/>
  <c r="J74" i="7"/>
  <c r="J76" i="7"/>
  <c r="J77" i="7"/>
  <c r="J54" i="7"/>
  <c r="J55" i="7"/>
  <c r="J49" i="7"/>
  <c r="J37" i="7"/>
  <c r="J38" i="7"/>
  <c r="J40" i="7"/>
  <c r="J42" i="7"/>
  <c r="J18" i="7"/>
  <c r="J19" i="7"/>
  <c r="J21" i="7"/>
  <c r="J44" i="7"/>
  <c r="J45" i="7"/>
  <c r="J46" i="7"/>
  <c r="J22" i="7"/>
  <c r="J65" i="7"/>
  <c r="J80" i="7"/>
  <c r="J17" i="7"/>
  <c r="F68" i="2" l="1"/>
  <c r="E136" i="7"/>
  <c r="F71" i="2" s="1"/>
  <c r="E137" i="7"/>
  <c r="F72" i="2" s="1"/>
  <c r="E135" i="7"/>
  <c r="F70" i="2" s="1"/>
  <c r="E139" i="7"/>
  <c r="F74" i="2" s="1"/>
  <c r="E134" i="7"/>
  <c r="F69" i="2" s="1"/>
  <c r="J110" i="7"/>
  <c r="E132" i="7" s="1"/>
  <c r="F67" i="2" l="1"/>
  <c r="J114" i="7"/>
  <c r="I46" i="7"/>
  <c r="I25" i="7"/>
  <c r="I49" i="7"/>
  <c r="I89" i="7"/>
  <c r="I34" i="7"/>
  <c r="I62" i="7"/>
  <c r="J117" i="7"/>
  <c r="I86" i="7"/>
  <c r="I21" i="7"/>
  <c r="I73" i="7"/>
  <c r="I65" i="7"/>
  <c r="I67" i="7"/>
  <c r="I44" i="7"/>
  <c r="I38" i="7"/>
  <c r="I92" i="7"/>
  <c r="I57" i="7"/>
  <c r="I80" i="7"/>
  <c r="I84" i="7"/>
  <c r="I79" i="7"/>
  <c r="I113" i="7"/>
  <c r="I83" i="7"/>
  <c r="J116" i="7"/>
  <c r="I19" i="7"/>
  <c r="I45" i="7"/>
  <c r="I40" i="7"/>
  <c r="I42" i="7"/>
  <c r="I70" i="7"/>
  <c r="I17" i="7"/>
  <c r="I56" i="7"/>
  <c r="I95" i="7"/>
  <c r="I71" i="7"/>
  <c r="I74" i="7"/>
  <c r="I85" i="7"/>
  <c r="I24" i="7"/>
  <c r="I53" i="7"/>
  <c r="I77" i="7"/>
  <c r="I76" i="7"/>
  <c r="I54" i="7"/>
  <c r="I28" i="7"/>
  <c r="I23" i="7"/>
  <c r="I41" i="7"/>
  <c r="I22" i="7"/>
  <c r="I55" i="7"/>
  <c r="I26" i="7"/>
  <c r="I66" i="7"/>
  <c r="I18" i="7"/>
  <c r="I88" i="7"/>
  <c r="I32" i="7"/>
  <c r="I37" i="7"/>
  <c r="I29" i="7"/>
  <c r="I39" i="7"/>
  <c r="I72" i="7"/>
  <c r="I60" i="7"/>
  <c r="I87" i="7"/>
  <c r="I61" i="7"/>
  <c r="I27" i="7"/>
  <c r="I91" i="7"/>
  <c r="E11" i="7"/>
  <c r="J12" i="7" s="1"/>
  <c r="J122" i="7" l="1"/>
  <c r="E130" i="7"/>
  <c r="E132" i="10"/>
  <c r="J122" i="10"/>
  <c r="J11" i="7"/>
  <c r="J13" i="7"/>
  <c r="I122" i="10" l="1"/>
  <c r="G65" i="2"/>
  <c r="F65" i="2"/>
  <c r="I122" i="7"/>
  <c r="J14" i="7"/>
  <c r="G10" i="2"/>
  <c r="H10" i="2" s="1"/>
  <c r="G8" i="2"/>
  <c r="H8" i="2" l="1"/>
  <c r="C28" i="2" s="1"/>
  <c r="F8" i="2"/>
  <c r="I8" i="2" l="1"/>
  <c r="M28" i="2" s="1"/>
  <c r="C42" i="2"/>
  <c r="I10" i="2"/>
  <c r="M42" i="2" s="1"/>
</calcChain>
</file>

<file path=xl/sharedStrings.xml><?xml version="1.0" encoding="utf-8"?>
<sst xmlns="http://schemas.openxmlformats.org/spreadsheetml/2006/main" count="401" uniqueCount="149">
  <si>
    <t xml:space="preserve"> </t>
  </si>
  <si>
    <t>Gross Margin Budget Overview</t>
  </si>
  <si>
    <t>Cells to change</t>
  </si>
  <si>
    <t>Overview</t>
  </si>
  <si>
    <t>Price</t>
  </si>
  <si>
    <t>Yield</t>
  </si>
  <si>
    <t>Income</t>
  </si>
  <si>
    <t>Expenses</t>
  </si>
  <si>
    <t>Gross Margin (Ha)</t>
  </si>
  <si>
    <t>Gross Margin (ML)</t>
  </si>
  <si>
    <t>Cotton #1</t>
  </si>
  <si>
    <t>Scenario:</t>
  </si>
  <si>
    <t>Cotton #2</t>
  </si>
  <si>
    <t>Notes</t>
  </si>
  <si>
    <r>
      <rPr>
        <sz val="11"/>
        <color rgb="FF0070C0"/>
        <rFont val="Webdings"/>
        <family val="1"/>
        <charset val="2"/>
      </rPr>
      <t>a</t>
    </r>
    <r>
      <rPr>
        <sz val="11"/>
        <color theme="1" tint="0.14999847407452621"/>
        <rFont val="Corbel"/>
        <family val="2"/>
        <scheme val="major"/>
      </rPr>
      <t xml:space="preserve"> Operations, prices and rates are indicative only, change them to reflect your own farming practices</t>
    </r>
  </si>
  <si>
    <r>
      <rPr>
        <sz val="11"/>
        <color rgb="FF0070C0"/>
        <rFont val="Webdings"/>
        <family val="1"/>
        <charset val="2"/>
      </rPr>
      <t>a</t>
    </r>
    <r>
      <rPr>
        <sz val="11"/>
        <color theme="1" tint="0.14999847407452621"/>
        <rFont val="Corbel"/>
        <family val="2"/>
        <scheme val="major"/>
      </rPr>
      <t xml:space="preserve"> Compare cotton crop scenarios or other crops</t>
    </r>
    <r>
      <rPr>
        <sz val="11"/>
        <color theme="1" tint="0.14999847407452621"/>
        <rFont val="Corbel"/>
        <family val="1"/>
        <charset val="2"/>
        <scheme val="major"/>
      </rPr>
      <t>. Change the scenario description in each tab in C8</t>
    </r>
  </si>
  <si>
    <r>
      <rPr>
        <sz val="11"/>
        <color rgb="FF0070C0"/>
        <rFont val="Webdings"/>
        <family val="1"/>
        <charset val="2"/>
      </rPr>
      <t>a</t>
    </r>
    <r>
      <rPr>
        <sz val="11"/>
        <color theme="1" tint="0.14999847407452621"/>
        <rFont val="Corbel"/>
        <family val="2"/>
        <scheme val="major"/>
      </rPr>
      <t xml:space="preserve"> Remember to 'save as' this spreadsheet so it doesn't stay in your downloads file</t>
    </r>
  </si>
  <si>
    <r>
      <rPr>
        <sz val="11"/>
        <color rgb="FF0070C0"/>
        <rFont val="Webdings"/>
        <family val="1"/>
        <charset val="2"/>
      </rPr>
      <t>a</t>
    </r>
    <r>
      <rPr>
        <sz val="11"/>
        <color theme="1" tint="0.14999847407452621"/>
        <rFont val="Corbel"/>
        <family val="2"/>
        <scheme val="major"/>
      </rPr>
      <t xml:space="preserve"> Refer to the suite of CottonInfo gross margins for indicative contractor pricing</t>
    </r>
  </si>
  <si>
    <t>Click here</t>
  </si>
  <si>
    <r>
      <rPr>
        <sz val="11"/>
        <color rgb="FF0070C0"/>
        <rFont val="Webdings"/>
        <family val="1"/>
        <charset val="2"/>
      </rPr>
      <t>a</t>
    </r>
    <r>
      <rPr>
        <sz val="11"/>
        <color theme="1" tint="0.14999847407452621"/>
        <rFont val="Corbel"/>
        <family val="2"/>
        <scheme val="major"/>
      </rPr>
      <t xml:space="preserve"> To ensure flexibility with scenario comparison, the two scenario sheets are not linked. </t>
    </r>
  </si>
  <si>
    <t xml:space="preserve">           i.e if you want pricing in both tabs changed, you'll need to change the corresponding cells on both tabs</t>
  </si>
  <si>
    <t>Sensitivity - Cotton #1</t>
  </si>
  <si>
    <t>SENSITIVITY TABLE</t>
  </si>
  <si>
    <t>(Gross Margin $/Ha)</t>
  </si>
  <si>
    <t>(Gross Margin $/ML)</t>
  </si>
  <si>
    <t>PRICE ($/bale excl. of seed &amp; discounts)</t>
  </si>
  <si>
    <t>YIELD                 (227kg lint bales/ha)</t>
  </si>
  <si>
    <t>Sensitivity - Cotton #2</t>
  </si>
  <si>
    <t xml:space="preserve">          Cotton Industry Gross Margins</t>
  </si>
  <si>
    <t>Editable form</t>
  </si>
  <si>
    <t xml:space="preserve"> Gross margin budget: Cotton</t>
  </si>
  <si>
    <t>Season turns hotter, drier</t>
  </si>
  <si>
    <t>Change these cells</t>
  </si>
  <si>
    <t>GROSS INCOME</t>
  </si>
  <si>
    <t>$/Ha</t>
  </si>
  <si>
    <t>Lint yield (bales/ha)*</t>
  </si>
  <si>
    <t>Lint price ($/bale)*</t>
  </si>
  <si>
    <t>/bale</t>
  </si>
  <si>
    <t>Seed</t>
  </si>
  <si>
    <t>Seed price ($/bale)</t>
  </si>
  <si>
    <t>Discount ($/bale)</t>
  </si>
  <si>
    <t>Total grosss income (A)</t>
  </si>
  <si>
    <t>VARIABLE COSTS</t>
  </si>
  <si>
    <t>Farming / Prep</t>
  </si>
  <si>
    <t>Operations</t>
  </si>
  <si>
    <t>$/Operation</t>
  </si>
  <si>
    <t>$/Bale</t>
  </si>
  <si>
    <t>Bed renovating</t>
  </si>
  <si>
    <t>Discing</t>
  </si>
  <si>
    <t>Hill up</t>
  </si>
  <si>
    <t>Roller</t>
  </si>
  <si>
    <t>Cultivation (inter-row)</t>
  </si>
  <si>
    <t>Pupae Bust</t>
  </si>
  <si>
    <t>Rip / rotobuck</t>
  </si>
  <si>
    <t>Stubble mulching</t>
  </si>
  <si>
    <t>Desilting &amp; grading channels</t>
  </si>
  <si>
    <t>Sterilising channels</t>
  </si>
  <si>
    <t>Other…</t>
  </si>
  <si>
    <t>Planting</t>
  </si>
  <si>
    <t>Inputs</t>
  </si>
  <si>
    <t>$/Kg</t>
  </si>
  <si>
    <t>Kgs/Ha</t>
  </si>
  <si>
    <t>Application</t>
  </si>
  <si>
    <t>Planter</t>
  </si>
  <si>
    <t>Fertiliser</t>
  </si>
  <si>
    <t>Anhydrous Ammonia</t>
  </si>
  <si>
    <t>Urea</t>
  </si>
  <si>
    <t>MAP</t>
  </si>
  <si>
    <t>Potassium</t>
  </si>
  <si>
    <t>Fertiliser drilled</t>
  </si>
  <si>
    <t>Fertiliser spread</t>
  </si>
  <si>
    <t>Fertiliser side-dress</t>
  </si>
  <si>
    <t>Herbicide</t>
  </si>
  <si>
    <t>Applications</t>
  </si>
  <si>
    <t>$/Kg or L</t>
  </si>
  <si>
    <t>L or Kgs/Ha</t>
  </si>
  <si>
    <t>(Pre plant &amp; In crop)</t>
  </si>
  <si>
    <t>Glyphosate (690 RR plantshield)</t>
  </si>
  <si>
    <t>Flumioxazin (500g/L)</t>
  </si>
  <si>
    <t>Paraquat (360g/L)</t>
  </si>
  <si>
    <t>Pendimethalin (455g/L)</t>
  </si>
  <si>
    <t>Terbuthizine (875g/L)</t>
  </si>
  <si>
    <t>S-metalochlor OTT (960g/L)</t>
  </si>
  <si>
    <t>Growth regulant</t>
  </si>
  <si>
    <t>Shielded sprayer</t>
  </si>
  <si>
    <t>Self-propelled sprayer</t>
  </si>
  <si>
    <t>Aerial Spraying (Herbicides &amp; Growth regulant)</t>
  </si>
  <si>
    <t>Insecticide</t>
  </si>
  <si>
    <t>Sulfoxaflor (500g/kg)</t>
  </si>
  <si>
    <t>Fipronil (200g/L)</t>
  </si>
  <si>
    <t>Aerial Spraying (Insecticide)</t>
  </si>
  <si>
    <t>Defoliant</t>
  </si>
  <si>
    <t>Thidiazuron (500g)</t>
  </si>
  <si>
    <t>Crop oil</t>
  </si>
  <si>
    <t>ETee® (25g/L + 756g/L + 102g/L)</t>
  </si>
  <si>
    <t>Self-propelled sprayer (Defoliant)</t>
  </si>
  <si>
    <t>Aerial Spraying (Defoliant)</t>
  </si>
  <si>
    <t>Irrigation costs (inc. pumping costs &amp; water fees)</t>
  </si>
  <si>
    <t>ML/Ha*</t>
  </si>
  <si>
    <t>$/ML</t>
  </si>
  <si>
    <t>Consultant fee (including soil moisture management)</t>
  </si>
  <si>
    <t>Nitrogen / nutrient testing (i.e soil and petiole testing)</t>
  </si>
  <si>
    <t>Soil moisture management</t>
  </si>
  <si>
    <t>Broker (Marketing) fee</t>
  </si>
  <si>
    <t>Refuge</t>
  </si>
  <si>
    <t>Crop Insurance</t>
  </si>
  <si>
    <t>Option 3 (end point royalty, BIII $52.50/bale)</t>
  </si>
  <si>
    <t>Picking, cartage &amp; ginning</t>
  </si>
  <si>
    <t>Picker. Own machine (variable costs only, incl. fuel)</t>
  </si>
  <si>
    <t>Wrap</t>
  </si>
  <si>
    <t>/round bale</t>
  </si>
  <si>
    <t>Cartage</t>
  </si>
  <si>
    <t>Distance to gin (km)</t>
  </si>
  <si>
    <t>/km plus lift</t>
  </si>
  <si>
    <t>/ round</t>
  </si>
  <si>
    <t>Ginning</t>
  </si>
  <si>
    <t>Levies</t>
  </si>
  <si>
    <t>Labour</t>
  </si>
  <si>
    <t>(technically only included in gross margins if considered a variable cost i.e temporary labour for irrigating)</t>
  </si>
  <si>
    <t>Total variable costs (B)</t>
  </si>
  <si>
    <t>Cost Summary (used for the graph on the front page)</t>
  </si>
  <si>
    <t>$/ha</t>
  </si>
  <si>
    <t>Other</t>
  </si>
  <si>
    <t>Licence fee</t>
  </si>
  <si>
    <t>Defoliation</t>
  </si>
  <si>
    <t>Insecticides</t>
  </si>
  <si>
    <t>Herbicides and growth regulants</t>
  </si>
  <si>
    <t>Farming / ground preparation</t>
  </si>
  <si>
    <r>
      <rPr>
        <sz val="11"/>
        <color rgb="FF0070C0"/>
        <rFont val="Webdings"/>
        <family val="1"/>
        <charset val="2"/>
      </rPr>
      <t>a</t>
    </r>
    <r>
      <rPr>
        <sz val="11"/>
        <color theme="1" tint="0.14999847407452621"/>
        <rFont val="Corbel"/>
        <family val="2"/>
        <scheme val="major"/>
      </rPr>
      <t xml:space="preserve"> As a gross margin comparison, each scenario only includes variable costs related directly to the crop</t>
    </r>
  </si>
  <si>
    <t xml:space="preserve">          i.e not included are borrowing costs, depreciation or labour</t>
  </si>
  <si>
    <t>Expense comparison</t>
  </si>
  <si>
    <t xml:space="preserve">* Yield, price and applied water are changed on the first tab                 </t>
  </si>
  <si>
    <t>(Option 1 price discount, BIII $390/ha, Option 2 late crop removal BIII $420/ha)</t>
  </si>
  <si>
    <r>
      <t xml:space="preserve">Licence Fee </t>
    </r>
    <r>
      <rPr>
        <b/>
        <sz val="8"/>
        <color theme="8" tint="-0.249977111117893"/>
        <rFont val="Corbel"/>
        <family val="2"/>
        <scheme val="major"/>
      </rPr>
      <t>#</t>
    </r>
  </si>
  <si>
    <t xml:space="preserve"># Check licence options for your region on the Bayer website            </t>
  </si>
  <si>
    <t>Season remains wetter, cooler</t>
  </si>
  <si>
    <t>Glyphosate (450g/L)</t>
  </si>
  <si>
    <t>Spirotetramat (240g/L)</t>
  </si>
  <si>
    <t>Acetamiprid (218 g/L), Emamectin (32.5g/L)</t>
  </si>
  <si>
    <t>Thidiazuron + Diuron (240g + 120g/L)</t>
  </si>
  <si>
    <t>Ethephon (900g/L)</t>
  </si>
  <si>
    <t>Sourced irrigation water^</t>
  </si>
  <si>
    <r>
      <rPr>
        <b/>
        <sz val="14"/>
        <color theme="8"/>
        <rFont val="Trebuchet MS"/>
        <family val="2"/>
        <scheme val="minor"/>
      </rPr>
      <t xml:space="preserve">^ </t>
    </r>
    <r>
      <rPr>
        <sz val="11"/>
        <rFont val="Corbel"/>
        <family val="2"/>
        <scheme val="major"/>
      </rPr>
      <t xml:space="preserve">The cost of irrigation needs to be calculated on sourced water. Industry studies suggest on average,    </t>
    </r>
    <r>
      <rPr>
        <sz val="11"/>
        <color theme="0"/>
        <rFont val="Corbel"/>
        <family val="2"/>
        <scheme val="major"/>
      </rPr>
      <t>_</t>
    </r>
    <r>
      <rPr>
        <sz val="11"/>
        <rFont val="Corbel"/>
        <family val="2"/>
        <scheme val="major"/>
      </rPr>
      <t xml:space="preserve">   applied water is 76% of water sourced</t>
    </r>
  </si>
  <si>
    <t>Cultipacker</t>
  </si>
  <si>
    <t>Glufosinate-ammonium (200g/L)</t>
  </si>
  <si>
    <t>XtendiMax® 2 (Dicamba 480g/L) (with XtendFlex® varieties only)</t>
  </si>
  <si>
    <t>Mepiquat Chloride (380g/L) growth regulator</t>
  </si>
  <si>
    <t>Mepiquat Chloride (380g/L) growth regulator / cut out</t>
  </si>
  <si>
    <t>Last updated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</si>
</sst>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quot;$&quot;* #,##0.00_-;_-&quot;$&quot;* &quot;-&quot;??_-;_-@_-"/>
    <numFmt numFmtId="43" formatCode="_-* #,##0.00_-;\-* #,##0.00_-;_-* &quot;-&quot;??_-;_-@_-"/>
    <numFmt numFmtId="164" formatCode="&quot;$&quot;#,##0.00_);\(&quot;$&quot;#,##0.00\)"/>
    <numFmt numFmtId="165" formatCode="&quot;$&quot;\ #,##0_);[Red]\(&quot;$&quot;\ #,##0\)"/>
    <numFmt numFmtId="166" formatCode="&quot;$&quot;\ #,##0"/>
    <numFmt numFmtId="167" formatCode="&quot;$&quot;#,##0.00"/>
    <numFmt numFmtId="168" formatCode="#,##0.0"/>
    <numFmt numFmtId="169" formatCode="&quot;$&quot;#,##0"/>
    <numFmt numFmtId="170" formatCode="0.0"/>
    <numFmt numFmtId="171" formatCode="_-* #,##0_-;\-* #,##0_-;_-* &quot;-&quot;??_-;_-@_-"/>
    <numFmt numFmtId="172" formatCode="0\ &quot;km&quot;"/>
    <numFmt numFmtId="173" formatCode="&quot;$&quot;#,##0_);\(&quot;$&quot;#,##0\)"/>
  </numFmts>
  <fonts count="73">
    <font>
      <sz val="11"/>
      <color theme="1"/>
      <name val="Trebuchet MS"/>
      <family val="2"/>
      <scheme val="minor"/>
    </font>
    <font>
      <sz val="10"/>
      <color theme="1" tint="0.14999847407452621"/>
      <name val="Trebuchet MS"/>
      <family val="2"/>
      <scheme val="minor"/>
    </font>
    <font>
      <sz val="10"/>
      <color theme="1" tint="0.14999847407452621"/>
      <name val="Corbel"/>
      <family val="2"/>
      <scheme val="major"/>
    </font>
    <font>
      <sz val="18"/>
      <color theme="9" tint="-0.499984740745262"/>
      <name val="Corbel"/>
      <family val="2"/>
      <scheme val="major"/>
    </font>
    <font>
      <sz val="12"/>
      <color theme="1" tint="0.249977111117893"/>
      <name val="Corbel"/>
      <family val="2"/>
      <scheme val="major"/>
    </font>
    <font>
      <sz val="11"/>
      <color theme="1" tint="0.249977111117893"/>
      <name val="Corbel"/>
      <family val="2"/>
      <scheme val="major"/>
    </font>
    <font>
      <sz val="12"/>
      <color theme="9" tint="-0.499984740745262"/>
      <name val="Corbel"/>
      <family val="2"/>
      <scheme val="major"/>
    </font>
    <font>
      <sz val="16"/>
      <color theme="9" tint="-0.499984740745262"/>
      <name val="Corbel"/>
      <family val="2"/>
      <scheme val="major"/>
    </font>
    <font>
      <sz val="16"/>
      <color theme="5" tint="-0.499984740745262"/>
      <name val="Corbel"/>
      <family val="2"/>
      <scheme val="major"/>
    </font>
    <font>
      <sz val="11"/>
      <color theme="1" tint="0.14999847407452621"/>
      <name val="Corbel"/>
      <family val="2"/>
      <scheme val="major"/>
    </font>
    <font>
      <sz val="11"/>
      <color theme="1"/>
      <name val="Trebuchet MS"/>
      <family val="2"/>
      <scheme val="minor"/>
    </font>
    <font>
      <sz val="36"/>
      <color theme="0"/>
      <name val="Corbel"/>
      <family val="2"/>
      <scheme val="major"/>
    </font>
    <font>
      <b/>
      <sz val="10"/>
      <name val="Arial"/>
      <family val="2"/>
    </font>
    <font>
      <b/>
      <u/>
      <sz val="10"/>
      <name val="Arial"/>
      <family val="2"/>
    </font>
    <font>
      <sz val="10"/>
      <name val="Arial"/>
      <family val="2"/>
    </font>
    <font>
      <b/>
      <sz val="10"/>
      <color indexed="9"/>
      <name val="Arial"/>
      <family val="2"/>
    </font>
    <font>
      <sz val="8"/>
      <name val="Trebuchet MS"/>
      <family val="2"/>
      <scheme val="minor"/>
    </font>
    <font>
      <sz val="11"/>
      <color theme="1"/>
      <name val="Franklin Gothic Book"/>
      <family val="2"/>
    </font>
    <font>
      <sz val="10"/>
      <name val="Helv"/>
    </font>
    <font>
      <sz val="19"/>
      <color rgb="FF002D62"/>
      <name val="Franklin Gothic Heavy"/>
      <family val="2"/>
    </font>
    <font>
      <sz val="12"/>
      <name val="Times New Roman"/>
      <family val="1"/>
    </font>
    <font>
      <sz val="12"/>
      <name val="Franklin Gothic Book"/>
      <family val="2"/>
    </font>
    <font>
      <b/>
      <i/>
      <sz val="20"/>
      <color rgb="FFE38F36"/>
      <name val="Constantia"/>
      <family val="1"/>
    </font>
    <font>
      <b/>
      <sz val="22"/>
      <name val="Franklin Gothic Book"/>
      <family val="2"/>
    </font>
    <font>
      <b/>
      <i/>
      <sz val="22"/>
      <color rgb="FFE38F36"/>
      <name val="Constantia"/>
      <family val="1"/>
    </font>
    <font>
      <b/>
      <sz val="13"/>
      <color rgb="FFE38F36"/>
      <name val="Yu Gothic UI Semibold"/>
      <family val="2"/>
    </font>
    <font>
      <sz val="14"/>
      <color rgb="FF41AD49"/>
      <name val="Franklin Gothic Book"/>
      <family val="2"/>
    </font>
    <font>
      <b/>
      <sz val="15"/>
      <color rgb="FF000000"/>
      <name val="Yu Gothic Medium"/>
      <family val="2"/>
    </font>
    <font>
      <b/>
      <sz val="12"/>
      <color rgb="FF18336A"/>
      <name val="Yu Gothic UI Semibold"/>
      <family val="2"/>
    </font>
    <font>
      <b/>
      <sz val="14"/>
      <color rgb="FF002060"/>
      <name val="Trebuchet MS"/>
      <family val="2"/>
      <scheme val="minor"/>
    </font>
    <font>
      <sz val="11"/>
      <color theme="1" tint="0.499984740745262"/>
      <name val="Trebuchet MS"/>
      <family val="2"/>
      <scheme val="minor"/>
    </font>
    <font>
      <sz val="11"/>
      <color theme="1"/>
      <name val="Corbel"/>
      <family val="2"/>
      <scheme val="major"/>
    </font>
    <font>
      <b/>
      <sz val="11"/>
      <color theme="8" tint="-0.249977111117893"/>
      <name val="Corbel"/>
      <family val="2"/>
      <scheme val="major"/>
    </font>
    <font>
      <b/>
      <sz val="12"/>
      <color theme="0"/>
      <name val="Franklin Gothic Book"/>
      <family val="2"/>
    </font>
    <font>
      <b/>
      <sz val="20"/>
      <color rgb="FFE38F36"/>
      <name val="Trebuchet MS"/>
      <family val="2"/>
      <scheme val="minor"/>
    </font>
    <font>
      <b/>
      <sz val="20"/>
      <color rgb="FF41AD49"/>
      <name val="Corbel"/>
      <family val="2"/>
      <scheme val="major"/>
    </font>
    <font>
      <sz val="10"/>
      <color theme="1"/>
      <name val="Trebuchet MS"/>
      <family val="2"/>
      <scheme val="minor"/>
    </font>
    <font>
      <sz val="11"/>
      <name val="Arial"/>
      <family val="2"/>
    </font>
    <font>
      <i/>
      <sz val="10"/>
      <color theme="1"/>
      <name val="Trebuchet MS"/>
      <family val="2"/>
      <scheme val="minor"/>
    </font>
    <font>
      <b/>
      <sz val="10"/>
      <color theme="1"/>
      <name val="Trebuchet MS"/>
      <family val="2"/>
      <scheme val="minor"/>
    </font>
    <font>
      <u/>
      <sz val="11"/>
      <color theme="10"/>
      <name val="Trebuchet MS"/>
      <family val="2"/>
      <scheme val="minor"/>
    </font>
    <font>
      <b/>
      <sz val="11"/>
      <color theme="1"/>
      <name val="Trebuchet MS"/>
      <family val="2"/>
      <scheme val="minor"/>
    </font>
    <font>
      <sz val="11"/>
      <color theme="0"/>
      <name val="Trebuchet MS"/>
      <family val="2"/>
      <scheme val="minor"/>
    </font>
    <font>
      <sz val="16"/>
      <color theme="8"/>
      <name val="Corbel"/>
      <family val="2"/>
      <scheme val="major"/>
    </font>
    <font>
      <i/>
      <sz val="10"/>
      <color theme="4" tint="-0.249977111117893"/>
      <name val="Arial"/>
      <family val="2"/>
    </font>
    <font>
      <b/>
      <sz val="10"/>
      <color theme="4" tint="-0.249977111117893"/>
      <name val="Trebuchet MS"/>
      <family val="2"/>
      <scheme val="minor"/>
    </font>
    <font>
      <b/>
      <i/>
      <sz val="12"/>
      <name val="Franklin Gothic Book"/>
      <family val="2"/>
    </font>
    <font>
      <b/>
      <sz val="11"/>
      <name val="Franklin Gothic Book"/>
      <family val="2"/>
    </font>
    <font>
      <b/>
      <sz val="10"/>
      <name val="Franklin Gothic Book"/>
      <family val="2"/>
    </font>
    <font>
      <sz val="11"/>
      <name val="Franklin Gothic Book"/>
      <family val="2"/>
    </font>
    <font>
      <b/>
      <sz val="13"/>
      <color theme="4" tint="-0.249977111117893"/>
      <name val="Franklin Gothic Book"/>
      <family val="2"/>
    </font>
    <font>
      <b/>
      <i/>
      <sz val="12"/>
      <color theme="4" tint="-0.249977111117893"/>
      <name val="Franklin Gothic Book"/>
      <family val="2"/>
    </font>
    <font>
      <sz val="10"/>
      <color theme="1"/>
      <name val="Corbel"/>
      <family val="2"/>
      <scheme val="major"/>
    </font>
    <font>
      <sz val="10"/>
      <color theme="1" tint="0.499984740745262"/>
      <name val="Trebuchet MS"/>
      <family val="2"/>
      <scheme val="minor"/>
    </font>
    <font>
      <i/>
      <sz val="12"/>
      <color rgb="FFEAB200"/>
      <name val="Corbel"/>
      <family val="2"/>
      <scheme val="major"/>
    </font>
    <font>
      <sz val="11"/>
      <color theme="1" tint="0.14999847407452621"/>
      <name val="Corbel"/>
      <family val="1"/>
      <charset val="2"/>
      <scheme val="major"/>
    </font>
    <font>
      <sz val="11"/>
      <color rgb="FF0070C0"/>
      <name val="Webdings"/>
      <family val="1"/>
      <charset val="2"/>
    </font>
    <font>
      <sz val="11"/>
      <color theme="1" tint="0.14999847407452621"/>
      <name val="Trebuchet MS"/>
      <family val="2"/>
      <scheme val="minor"/>
    </font>
    <font>
      <i/>
      <sz val="11"/>
      <color theme="1" tint="0.14999847407452621"/>
      <name val="Corbel"/>
      <family val="2"/>
      <scheme val="major"/>
    </font>
    <font>
      <sz val="11"/>
      <color theme="0"/>
      <name val="Franklin Gothic Book"/>
      <family val="2"/>
    </font>
    <font>
      <b/>
      <sz val="14"/>
      <color theme="0"/>
      <name val="Corbel"/>
      <family val="2"/>
      <scheme val="major"/>
    </font>
    <font>
      <b/>
      <i/>
      <sz val="10"/>
      <color theme="8" tint="-0.249977111117893"/>
      <name val="Corbel"/>
      <family val="2"/>
      <scheme val="major"/>
    </font>
    <font>
      <u/>
      <sz val="8"/>
      <color theme="10"/>
      <name val="Trebuchet MS"/>
      <family val="2"/>
      <scheme val="minor"/>
    </font>
    <font>
      <b/>
      <sz val="12"/>
      <color rgb="FFEAB200"/>
      <name val="Trebuchet MS"/>
      <family val="2"/>
      <scheme val="minor"/>
    </font>
    <font>
      <i/>
      <sz val="11"/>
      <color rgb="FF558339"/>
      <name val="Trebuchet MS"/>
      <family val="2"/>
      <scheme val="minor"/>
    </font>
    <font>
      <b/>
      <sz val="9"/>
      <color theme="0"/>
      <name val="Trebuchet MS"/>
      <family val="2"/>
      <scheme val="minor"/>
    </font>
    <font>
      <sz val="10"/>
      <color theme="0"/>
      <name val="Trebuchet MS"/>
      <family val="2"/>
      <scheme val="minor"/>
    </font>
    <font>
      <b/>
      <sz val="10"/>
      <color theme="0"/>
      <name val="Trebuchet MS"/>
      <family val="2"/>
      <scheme val="minor"/>
    </font>
    <font>
      <sz val="9"/>
      <color theme="0"/>
      <name val="Trebuchet MS"/>
      <family val="2"/>
      <scheme val="minor"/>
    </font>
    <font>
      <b/>
      <sz val="8"/>
      <color theme="8" tint="-0.249977111117893"/>
      <name val="Corbel"/>
      <family val="2"/>
      <scheme val="major"/>
    </font>
    <font>
      <b/>
      <sz val="14"/>
      <color theme="8"/>
      <name val="Trebuchet MS"/>
      <family val="2"/>
      <scheme val="minor"/>
    </font>
    <font>
      <sz val="11"/>
      <name val="Corbel"/>
      <family val="2"/>
      <scheme val="major"/>
    </font>
    <font>
      <sz val="11"/>
      <color theme="0"/>
      <name val="Corbel"/>
      <family val="2"/>
      <scheme val="major"/>
    </font>
  </fonts>
  <fills count="8">
    <fill>
      <patternFill patternType="none"/>
    </fill>
    <fill>
      <patternFill patternType="gray125"/>
    </fill>
    <fill>
      <patternFill patternType="solid">
        <fgColor theme="8"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rgb="FF002D62"/>
        <bgColor indexed="64"/>
      </patternFill>
    </fill>
    <fill>
      <patternFill patternType="solid">
        <fgColor rgb="FFFFC000"/>
        <bgColor indexed="64"/>
      </patternFill>
    </fill>
    <fill>
      <patternFill patternType="solid">
        <fgColor theme="0"/>
        <bgColor theme="0"/>
      </patternFill>
    </fill>
  </fills>
  <borders count="25">
    <border>
      <left/>
      <right/>
      <top/>
      <bottom/>
      <diagonal/>
    </border>
    <border>
      <left style="thin">
        <color theme="0" tint="-0.14996795556505021"/>
      </left>
      <right/>
      <top/>
      <bottom/>
      <diagonal/>
    </border>
    <border>
      <left/>
      <right/>
      <top/>
      <bottom style="thin">
        <color theme="0" tint="-0.14996795556505021"/>
      </bottom>
      <diagonal/>
    </border>
    <border>
      <left/>
      <right/>
      <top/>
      <bottom style="thin">
        <color theme="9" tint="-0.249977111117893"/>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theme="0" tint="-0.14999847407452621"/>
      </left>
      <right/>
      <top style="medium">
        <color theme="0" tint="-0.14999847407452621"/>
      </top>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style="medium">
        <color theme="0" tint="-0.14999847407452621"/>
      </left>
      <right/>
      <top/>
      <bottom style="medium">
        <color theme="0" tint="-0.14999847407452621"/>
      </bottom>
      <diagonal/>
    </border>
    <border>
      <left/>
      <right/>
      <top/>
      <bottom style="medium">
        <color theme="0" tint="-0.14999847407452621"/>
      </bottom>
      <diagonal/>
    </border>
    <border>
      <left/>
      <right style="medium">
        <color theme="0" tint="-0.14999847407452621"/>
      </right>
      <top/>
      <bottom style="medium">
        <color theme="0" tint="-0.14999847407452621"/>
      </bottom>
      <diagonal/>
    </border>
    <border>
      <left/>
      <right/>
      <top/>
      <bottom style="thin">
        <color indexed="64"/>
      </bottom>
      <diagonal/>
    </border>
    <border>
      <left/>
      <right style="thin">
        <color auto="1"/>
      </right>
      <top/>
      <bottom/>
      <diagonal/>
    </border>
    <border>
      <left style="thin">
        <color auto="1"/>
      </left>
      <right/>
      <top/>
      <bottom style="thin">
        <color auto="1"/>
      </bottom>
      <diagonal/>
    </border>
    <border>
      <left/>
      <right/>
      <top/>
      <bottom style="thin">
        <color theme="0" tint="-0.14999847407452621"/>
      </bottom>
      <diagonal/>
    </border>
    <border>
      <left/>
      <right/>
      <top style="medium">
        <color theme="0" tint="-0.14999847407452621"/>
      </top>
      <bottom style="medium">
        <color theme="0" tint="-0.14999847407452621"/>
      </bottom>
      <diagonal/>
    </border>
  </borders>
  <cellStyleXfs count="9">
    <xf numFmtId="0" fontId="0" fillId="0" borderId="0"/>
    <xf numFmtId="44" fontId="10" fillId="0" borderId="0" applyFont="0" applyFill="0" applyBorder="0" applyAlignment="0" applyProtection="0"/>
    <xf numFmtId="0" fontId="10" fillId="0" borderId="0"/>
    <xf numFmtId="0" fontId="18" fillId="0" borderId="0"/>
    <xf numFmtId="0" fontId="20" fillId="0" borderId="0"/>
    <xf numFmtId="0" fontId="40" fillId="0" borderId="0" applyNumberFormat="0" applyFill="0" applyBorder="0" applyAlignment="0" applyProtection="0"/>
    <xf numFmtId="0" fontId="18" fillId="0" borderId="0"/>
    <xf numFmtId="0" fontId="10" fillId="0" borderId="0"/>
    <xf numFmtId="43" fontId="10" fillId="0" borderId="0" applyFont="0" applyFill="0" applyBorder="0" applyAlignment="0" applyProtection="0"/>
  </cellStyleXfs>
  <cellXfs count="22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6" fillId="0" borderId="0" xfId="0" applyFont="1" applyAlignment="1">
      <alignment horizontal="center" vertical="center"/>
    </xf>
    <xf numFmtId="166" fontId="7" fillId="0" borderId="0" xfId="0" applyNumberFormat="1" applyFont="1" applyAlignment="1">
      <alignment horizontal="center" vertical="center"/>
    </xf>
    <xf numFmtId="166" fontId="8" fillId="0" borderId="0" xfId="0" applyNumberFormat="1" applyFont="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center"/>
    </xf>
    <xf numFmtId="0" fontId="9" fillId="0" borderId="0" xfId="0" applyFont="1" applyAlignment="1">
      <alignment horizontal="center"/>
    </xf>
    <xf numFmtId="0" fontId="2" fillId="2" borderId="0" xfId="0" applyFont="1" applyFill="1" applyAlignment="1">
      <alignment horizontal="center" vertical="center"/>
    </xf>
    <xf numFmtId="0" fontId="2"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center" vertical="center"/>
    </xf>
    <xf numFmtId="0" fontId="11" fillId="2" borderId="0" xfId="0" applyFont="1" applyFill="1"/>
    <xf numFmtId="0" fontId="17" fillId="0" borderId="0" xfId="2" applyFont="1"/>
    <xf numFmtId="0" fontId="17" fillId="4" borderId="0" xfId="2" applyFont="1" applyFill="1"/>
    <xf numFmtId="0" fontId="0" fillId="4" borderId="0" xfId="0" applyFill="1"/>
    <xf numFmtId="164" fontId="14" fillId="4" borderId="0" xfId="1" applyNumberFormat="1" applyFont="1" applyFill="1" applyBorder="1" applyAlignment="1">
      <alignment horizontal="center"/>
    </xf>
    <xf numFmtId="0" fontId="27" fillId="4" borderId="0" xfId="3" applyFont="1" applyFill="1" applyAlignment="1">
      <alignment vertical="center"/>
    </xf>
    <xf numFmtId="0" fontId="28" fillId="4" borderId="0" xfId="2" applyFont="1" applyFill="1" applyAlignment="1">
      <alignment horizontal="right" vertical="center"/>
    </xf>
    <xf numFmtId="0" fontId="17" fillId="4" borderId="0" xfId="2" applyFont="1" applyFill="1" applyAlignment="1">
      <alignment vertical="center"/>
    </xf>
    <xf numFmtId="0" fontId="17" fillId="4" borderId="0" xfId="2" applyFont="1" applyFill="1" applyAlignment="1">
      <alignment horizontal="left" vertical="center"/>
    </xf>
    <xf numFmtId="0" fontId="12" fillId="4" borderId="0" xfId="0" applyFont="1" applyFill="1"/>
    <xf numFmtId="0" fontId="14" fillId="4" borderId="0" xfId="0" applyFont="1" applyFill="1" applyAlignment="1">
      <alignment horizontal="center"/>
    </xf>
    <xf numFmtId="0" fontId="12" fillId="4" borderId="0" xfId="0" applyFont="1" applyFill="1" applyAlignment="1">
      <alignment horizontal="center"/>
    </xf>
    <xf numFmtId="0" fontId="0" fillId="4" borderId="0" xfId="0" applyFill="1" applyAlignment="1">
      <alignment horizontal="center"/>
    </xf>
    <xf numFmtId="0" fontId="13" fillId="4" borderId="0" xfId="0" applyFont="1" applyFill="1"/>
    <xf numFmtId="0" fontId="0" fillId="4" borderId="0" xfId="0" applyFill="1" applyAlignment="1" applyProtection="1">
      <alignment horizontal="center"/>
      <protection locked="0"/>
    </xf>
    <xf numFmtId="164" fontId="0" fillId="4" borderId="0" xfId="0" applyNumberFormat="1" applyFill="1" applyAlignment="1" applyProtection="1">
      <alignment horizontal="center"/>
      <protection locked="0"/>
    </xf>
    <xf numFmtId="164" fontId="0" fillId="4" borderId="0" xfId="0" applyNumberFormat="1" applyFill="1" applyAlignment="1">
      <alignment horizontal="center"/>
    </xf>
    <xf numFmtId="3" fontId="0" fillId="4" borderId="0" xfId="0" applyNumberFormat="1" applyFill="1" applyAlignment="1" applyProtection="1">
      <alignment horizontal="center"/>
      <protection locked="0"/>
    </xf>
    <xf numFmtId="167" fontId="0" fillId="4" borderId="0" xfId="0" applyNumberFormat="1" applyFill="1" applyAlignment="1">
      <alignment horizontal="center"/>
    </xf>
    <xf numFmtId="164" fontId="15" fillId="4" borderId="0" xfId="1" applyNumberFormat="1" applyFont="1" applyFill="1" applyBorder="1" applyAlignment="1">
      <alignment horizontal="center"/>
    </xf>
    <xf numFmtId="4" fontId="14" fillId="4" borderId="0" xfId="0" applyNumberFormat="1" applyFont="1" applyFill="1" applyAlignment="1">
      <alignment horizontal="center"/>
    </xf>
    <xf numFmtId="0" fontId="0" fillId="3" borderId="0" xfId="0" applyFill="1" applyAlignment="1" applyProtection="1">
      <alignment horizontal="center"/>
      <protection locked="0"/>
    </xf>
    <xf numFmtId="164" fontId="0" fillId="3" borderId="0" xfId="0" applyNumberFormat="1" applyFill="1" applyAlignment="1" applyProtection="1">
      <alignment horizontal="center"/>
      <protection locked="0"/>
    </xf>
    <xf numFmtId="0" fontId="0" fillId="3" borderId="0" xfId="0" applyFill="1" applyAlignment="1">
      <alignment horizontal="center"/>
    </xf>
    <xf numFmtId="164" fontId="0" fillId="3" borderId="0" xfId="0" applyNumberFormat="1" applyFill="1" applyAlignment="1">
      <alignment horizontal="center"/>
    </xf>
    <xf numFmtId="3" fontId="0" fillId="3" borderId="0" xfId="0" applyNumberFormat="1" applyFill="1" applyAlignment="1" applyProtection="1">
      <alignment horizontal="center"/>
      <protection locked="0"/>
    </xf>
    <xf numFmtId="3" fontId="0" fillId="3" borderId="0" xfId="0" applyNumberFormat="1" applyFill="1" applyAlignment="1">
      <alignment horizontal="center"/>
    </xf>
    <xf numFmtId="2" fontId="0" fillId="3" borderId="0" xfId="0" applyNumberFormat="1" applyFill="1" applyAlignment="1" applyProtection="1">
      <alignment horizontal="center"/>
      <protection locked="0"/>
    </xf>
    <xf numFmtId="2" fontId="0" fillId="3" borderId="0" xfId="0" applyNumberFormat="1" applyFill="1" applyAlignment="1">
      <alignment horizontal="center"/>
    </xf>
    <xf numFmtId="167" fontId="0" fillId="3" borderId="0" xfId="0" applyNumberFormat="1" applyFill="1" applyAlignment="1">
      <alignment horizontal="center"/>
    </xf>
    <xf numFmtId="0" fontId="29" fillId="4" borderId="0" xfId="0" applyFont="1" applyFill="1"/>
    <xf numFmtId="169" fontId="14" fillId="4" borderId="0" xfId="0" applyNumberFormat="1" applyFont="1" applyFill="1" applyAlignment="1">
      <alignment horizontal="center"/>
    </xf>
    <xf numFmtId="169" fontId="14" fillId="4" borderId="3" xfId="0" applyNumberFormat="1" applyFont="1" applyFill="1" applyBorder="1" applyAlignment="1">
      <alignment horizontal="center"/>
    </xf>
    <xf numFmtId="169" fontId="12" fillId="6" borderId="0" xfId="0" applyNumberFormat="1" applyFont="1" applyFill="1" applyAlignment="1">
      <alignment horizontal="center"/>
    </xf>
    <xf numFmtId="0" fontId="31" fillId="4" borderId="0" xfId="0" applyFont="1" applyFill="1"/>
    <xf numFmtId="169" fontId="0" fillId="3" borderId="0" xfId="0" applyNumberFormat="1" applyFill="1" applyAlignment="1" applyProtection="1">
      <alignment horizontal="center"/>
      <protection locked="0"/>
    </xf>
    <xf numFmtId="0" fontId="17" fillId="4" borderId="0" xfId="2" applyFont="1" applyFill="1" applyAlignment="1">
      <alignment horizontal="left"/>
    </xf>
    <xf numFmtId="0" fontId="22" fillId="4" borderId="0" xfId="3" applyFont="1" applyFill="1" applyAlignment="1">
      <alignment vertical="center"/>
    </xf>
    <xf numFmtId="0" fontId="21" fillId="4" borderId="0" xfId="4" applyFont="1" applyFill="1"/>
    <xf numFmtId="0" fontId="23" fillId="4" borderId="0" xfId="2" applyFont="1" applyFill="1" applyAlignment="1">
      <alignment horizontal="center"/>
    </xf>
    <xf numFmtId="0" fontId="24" fillId="4" borderId="0" xfId="3" applyFont="1" applyFill="1" applyAlignment="1">
      <alignment horizontal="right" vertical="center"/>
    </xf>
    <xf numFmtId="0" fontId="17" fillId="4" borderId="4" xfId="2" applyFont="1" applyFill="1" applyBorder="1"/>
    <xf numFmtId="0" fontId="17" fillId="4" borderId="5" xfId="2" applyFont="1" applyFill="1" applyBorder="1"/>
    <xf numFmtId="0" fontId="21" fillId="4" borderId="6" xfId="4" applyFont="1" applyFill="1" applyBorder="1"/>
    <xf numFmtId="0" fontId="22" fillId="4" borderId="7" xfId="3" applyFont="1" applyFill="1" applyBorder="1" applyAlignment="1">
      <alignment vertical="center"/>
    </xf>
    <xf numFmtId="0" fontId="21" fillId="4" borderId="8" xfId="4" applyFont="1" applyFill="1" applyBorder="1"/>
    <xf numFmtId="0" fontId="23" fillId="4" borderId="7" xfId="2" applyFont="1" applyFill="1" applyBorder="1" applyAlignment="1">
      <alignment horizontal="center"/>
    </xf>
    <xf numFmtId="0" fontId="26" fillId="5" borderId="9" xfId="2" applyFont="1" applyFill="1" applyBorder="1" applyAlignment="1">
      <alignment vertical="center"/>
    </xf>
    <xf numFmtId="0" fontId="26" fillId="5" borderId="10" xfId="2" applyFont="1" applyFill="1" applyBorder="1" applyAlignment="1">
      <alignment vertical="center"/>
    </xf>
    <xf numFmtId="0" fontId="33" fillId="5" borderId="11" xfId="2" applyFont="1" applyFill="1" applyBorder="1" applyAlignment="1">
      <alignment horizontal="right" vertical="center"/>
    </xf>
    <xf numFmtId="0" fontId="25" fillId="5" borderId="10" xfId="2" applyFont="1" applyFill="1" applyBorder="1" applyAlignment="1">
      <alignment vertical="center" wrapText="1"/>
    </xf>
    <xf numFmtId="0" fontId="28" fillId="3" borderId="0" xfId="2" applyFont="1" applyFill="1" applyAlignment="1">
      <alignment horizontal="right" vertical="center"/>
    </xf>
    <xf numFmtId="0" fontId="21" fillId="3" borderId="0" xfId="4" applyFont="1" applyFill="1" applyAlignment="1">
      <alignment horizontal="right" vertical="center"/>
    </xf>
    <xf numFmtId="0" fontId="36" fillId="4" borderId="0" xfId="0" applyFont="1" applyFill="1"/>
    <xf numFmtId="0" fontId="38" fillId="3" borderId="0" xfId="0" applyFont="1" applyFill="1"/>
    <xf numFmtId="0" fontId="38" fillId="4" borderId="0" xfId="0" applyFont="1" applyFill="1"/>
    <xf numFmtId="0" fontId="39" fillId="4" borderId="0" xfId="0" applyFont="1" applyFill="1"/>
    <xf numFmtId="0" fontId="32" fillId="4" borderId="12" xfId="0" applyFont="1" applyFill="1" applyBorder="1"/>
    <xf numFmtId="0" fontId="0" fillId="4" borderId="13" xfId="0" applyFill="1" applyBorder="1"/>
    <xf numFmtId="0" fontId="36" fillId="4" borderId="13" xfId="0" applyFont="1" applyFill="1" applyBorder="1"/>
    <xf numFmtId="0" fontId="0" fillId="4" borderId="13" xfId="0" applyFill="1" applyBorder="1" applyAlignment="1">
      <alignment horizontal="center"/>
    </xf>
    <xf numFmtId="164" fontId="14" fillId="4" borderId="13" xfId="1" applyNumberFormat="1" applyFont="1" applyFill="1" applyBorder="1" applyAlignment="1">
      <alignment horizontal="center"/>
    </xf>
    <xf numFmtId="164" fontId="14" fillId="4" borderId="14" xfId="1" applyNumberFormat="1" applyFont="1" applyFill="1" applyBorder="1" applyAlignment="1">
      <alignment horizontal="center"/>
    </xf>
    <xf numFmtId="0" fontId="0" fillId="4" borderId="15" xfId="0" applyFill="1" applyBorder="1"/>
    <xf numFmtId="164" fontId="14" fillId="4" borderId="16" xfId="1" applyNumberFormat="1" applyFont="1" applyFill="1" applyBorder="1" applyAlignment="1">
      <alignment horizontal="center"/>
    </xf>
    <xf numFmtId="0" fontId="0" fillId="4" borderId="17" xfId="0" applyFill="1" applyBorder="1"/>
    <xf numFmtId="0" fontId="0" fillId="4" borderId="18" xfId="0" applyFill="1" applyBorder="1"/>
    <xf numFmtId="0" fontId="36" fillId="4" borderId="18" xfId="0" applyFont="1" applyFill="1" applyBorder="1"/>
    <xf numFmtId="0" fontId="0" fillId="3" borderId="18" xfId="0" applyFill="1" applyBorder="1" applyAlignment="1">
      <alignment horizontal="center"/>
    </xf>
    <xf numFmtId="164" fontId="0" fillId="3" borderId="18" xfId="0" applyNumberFormat="1" applyFill="1" applyBorder="1" applyAlignment="1">
      <alignment horizontal="center"/>
    </xf>
    <xf numFmtId="0" fontId="0" fillId="4" borderId="18" xfId="0" applyFill="1" applyBorder="1" applyAlignment="1">
      <alignment horizontal="center"/>
    </xf>
    <xf numFmtId="164" fontId="14" fillId="4" borderId="18" xfId="1" applyNumberFormat="1" applyFont="1" applyFill="1" applyBorder="1" applyAlignment="1">
      <alignment horizontal="center"/>
    </xf>
    <xf numFmtId="164" fontId="14" fillId="4" borderId="19" xfId="1" applyNumberFormat="1" applyFont="1" applyFill="1" applyBorder="1" applyAlignment="1">
      <alignment horizontal="center"/>
    </xf>
    <xf numFmtId="164" fontId="0" fillId="4" borderId="13" xfId="0" applyNumberFormat="1" applyFill="1" applyBorder="1" applyAlignment="1" applyProtection="1">
      <alignment horizontal="center"/>
      <protection locked="0"/>
    </xf>
    <xf numFmtId="0" fontId="0" fillId="3" borderId="18" xfId="0" applyFill="1" applyBorder="1" applyAlignment="1" applyProtection="1">
      <alignment horizontal="center"/>
      <protection locked="0"/>
    </xf>
    <xf numFmtId="164" fontId="0" fillId="3" borderId="18" xfId="0" applyNumberFormat="1" applyFill="1" applyBorder="1" applyAlignment="1" applyProtection="1">
      <alignment horizontal="center"/>
      <protection locked="0"/>
    </xf>
    <xf numFmtId="0" fontId="12" fillId="4" borderId="13" xfId="0" applyFont="1" applyFill="1" applyBorder="1" applyAlignment="1">
      <alignment horizontal="left"/>
    </xf>
    <xf numFmtId="0" fontId="12" fillId="4" borderId="13" xfId="0" applyFont="1" applyFill="1" applyBorder="1" applyAlignment="1">
      <alignment horizontal="center"/>
    </xf>
    <xf numFmtId="0" fontId="13" fillId="4" borderId="15" xfId="0" applyFont="1" applyFill="1" applyBorder="1"/>
    <xf numFmtId="0" fontId="32" fillId="4" borderId="15" xfId="0" applyFont="1" applyFill="1" applyBorder="1"/>
    <xf numFmtId="0" fontId="32" fillId="4" borderId="17" xfId="0" applyFont="1" applyFill="1" applyBorder="1"/>
    <xf numFmtId="3" fontId="0" fillId="4" borderId="18" xfId="0" applyNumberFormat="1" applyFill="1" applyBorder="1" applyAlignment="1" applyProtection="1">
      <alignment horizontal="center"/>
      <protection locked="0"/>
    </xf>
    <xf numFmtId="0" fontId="12" fillId="4" borderId="14" xfId="0" applyFont="1" applyFill="1" applyBorder="1" applyAlignment="1">
      <alignment horizontal="center"/>
    </xf>
    <xf numFmtId="0" fontId="12" fillId="4" borderId="15" xfId="0" applyFont="1" applyFill="1" applyBorder="1"/>
    <xf numFmtId="0" fontId="38" fillId="3" borderId="18" xfId="0" applyFont="1" applyFill="1" applyBorder="1"/>
    <xf numFmtId="0" fontId="5" fillId="0" borderId="0" xfId="0" applyFont="1" applyAlignment="1">
      <alignment horizontal="center" wrapText="1"/>
    </xf>
    <xf numFmtId="0" fontId="6" fillId="0" borderId="0" xfId="0" applyFont="1" applyAlignment="1">
      <alignment horizontal="right" vertical="center"/>
    </xf>
    <xf numFmtId="165" fontId="43" fillId="0" borderId="0" xfId="0" applyNumberFormat="1" applyFont="1" applyAlignment="1">
      <alignment horizontal="center" vertical="center"/>
    </xf>
    <xf numFmtId="166" fontId="43" fillId="0" borderId="0" xfId="0" applyNumberFormat="1" applyFont="1" applyAlignment="1">
      <alignment horizontal="center" vertical="center"/>
    </xf>
    <xf numFmtId="164" fontId="0" fillId="4" borderId="0" xfId="0" applyNumberFormat="1" applyFill="1"/>
    <xf numFmtId="0" fontId="44" fillId="4" borderId="0" xfId="0" applyFont="1" applyFill="1"/>
    <xf numFmtId="0" fontId="41" fillId="4" borderId="0" xfId="0" applyFont="1" applyFill="1"/>
    <xf numFmtId="0" fontId="41" fillId="4" borderId="0" xfId="0" applyFont="1" applyFill="1" applyAlignment="1">
      <alignment horizontal="center"/>
    </xf>
    <xf numFmtId="167" fontId="0" fillId="4" borderId="0" xfId="0" applyNumberFormat="1" applyFill="1"/>
    <xf numFmtId="169" fontId="42" fillId="4" borderId="0" xfId="0" applyNumberFormat="1" applyFont="1" applyFill="1" applyAlignment="1">
      <alignment horizontal="center"/>
    </xf>
    <xf numFmtId="172" fontId="0" fillId="3" borderId="21" xfId="0" applyNumberFormat="1" applyFill="1" applyBorder="1" applyAlignment="1" applyProtection="1">
      <alignment horizontal="center"/>
      <protection locked="0"/>
    </xf>
    <xf numFmtId="0" fontId="52" fillId="4" borderId="0" xfId="0" applyFont="1" applyFill="1"/>
    <xf numFmtId="164" fontId="14" fillId="3" borderId="0" xfId="1" applyNumberFormat="1" applyFont="1" applyFill="1" applyBorder="1" applyAlignment="1">
      <alignment horizontal="center"/>
    </xf>
    <xf numFmtId="0" fontId="45" fillId="4" borderId="0" xfId="0" applyFont="1" applyFill="1"/>
    <xf numFmtId="164" fontId="0" fillId="4" borderId="18" xfId="0" applyNumberFormat="1" applyFill="1" applyBorder="1" applyAlignment="1" applyProtection="1">
      <alignment horizontal="center"/>
      <protection locked="0"/>
    </xf>
    <xf numFmtId="164" fontId="0" fillId="4" borderId="13" xfId="0" applyNumberFormat="1" applyFill="1" applyBorder="1" applyAlignment="1">
      <alignment horizontal="center"/>
    </xf>
    <xf numFmtId="164" fontId="37" fillId="3" borderId="14" xfId="1" applyNumberFormat="1" applyFont="1" applyFill="1" applyBorder="1" applyAlignment="1" applyProtection="1">
      <alignment horizontal="center"/>
      <protection locked="0"/>
    </xf>
    <xf numFmtId="164" fontId="37" fillId="3" borderId="16" xfId="1" applyNumberFormat="1" applyFont="1" applyFill="1" applyBorder="1" applyAlignment="1">
      <alignment horizontal="center"/>
    </xf>
    <xf numFmtId="164" fontId="0" fillId="4" borderId="18" xfId="0" applyNumberFormat="1" applyFill="1" applyBorder="1" applyAlignment="1">
      <alignment horizontal="center"/>
    </xf>
    <xf numFmtId="0" fontId="0" fillId="4" borderId="14" xfId="0" applyFill="1" applyBorder="1"/>
    <xf numFmtId="164" fontId="14" fillId="4" borderId="0" xfId="0" applyNumberFormat="1" applyFont="1" applyFill="1" applyAlignment="1">
      <alignment horizontal="center"/>
    </xf>
    <xf numFmtId="164" fontId="37" fillId="3" borderId="16" xfId="0" applyNumberFormat="1" applyFont="1" applyFill="1" applyBorder="1" applyAlignment="1" applyProtection="1">
      <alignment horizontal="center"/>
      <protection locked="0"/>
    </xf>
    <xf numFmtId="164" fontId="14" fillId="4" borderId="16" xfId="0" applyNumberFormat="1" applyFont="1" applyFill="1" applyBorder="1" applyAlignment="1" applyProtection="1">
      <alignment horizontal="center"/>
      <protection locked="0"/>
    </xf>
    <xf numFmtId="0" fontId="36" fillId="4" borderId="0" xfId="0" applyFont="1" applyFill="1" applyAlignment="1">
      <alignment horizontal="right"/>
    </xf>
    <xf numFmtId="164" fontId="14" fillId="4" borderId="0" xfId="0" applyNumberFormat="1" applyFont="1" applyFill="1" applyAlignment="1">
      <alignment horizontal="left"/>
    </xf>
    <xf numFmtId="49" fontId="0" fillId="4" borderId="0" xfId="0" applyNumberFormat="1" applyFill="1" applyAlignment="1">
      <alignment horizontal="center"/>
    </xf>
    <xf numFmtId="164" fontId="37" fillId="3" borderId="0" xfId="0" applyNumberFormat="1" applyFont="1" applyFill="1" applyAlignment="1" applyProtection="1">
      <alignment horizontal="center"/>
      <protection locked="0"/>
    </xf>
    <xf numFmtId="0" fontId="0" fillId="4" borderId="18" xfId="0" applyFill="1" applyBorder="1" applyAlignment="1" applyProtection="1">
      <alignment horizontal="center"/>
      <protection locked="0"/>
    </xf>
    <xf numFmtId="164" fontId="10" fillId="3" borderId="18" xfId="0" applyNumberFormat="1" applyFont="1" applyFill="1" applyBorder="1" applyAlignment="1" applyProtection="1">
      <alignment horizontal="center"/>
      <protection locked="0"/>
    </xf>
    <xf numFmtId="164" fontId="14" fillId="4" borderId="19" xfId="0" applyNumberFormat="1" applyFont="1" applyFill="1" applyBorder="1" applyAlignment="1" applyProtection="1">
      <alignment horizontal="center"/>
      <protection locked="0"/>
    </xf>
    <xf numFmtId="164" fontId="14" fillId="4" borderId="0" xfId="0" applyNumberFormat="1" applyFont="1" applyFill="1" applyAlignment="1" applyProtection="1">
      <alignment horizontal="center"/>
      <protection locked="0"/>
    </xf>
    <xf numFmtId="164" fontId="10" fillId="4" borderId="0" xfId="0" applyNumberFormat="1" applyFont="1" applyFill="1" applyAlignment="1" applyProtection="1">
      <alignment horizontal="center"/>
      <protection locked="0"/>
    </xf>
    <xf numFmtId="0" fontId="0" fillId="4" borderId="13" xfId="0" applyFill="1" applyBorder="1" applyAlignment="1" applyProtection="1">
      <alignment horizontal="center"/>
      <protection locked="0"/>
    </xf>
    <xf numFmtId="164" fontId="14" fillId="4" borderId="13" xfId="0" applyNumberFormat="1" applyFont="1" applyFill="1" applyBorder="1" applyAlignment="1">
      <alignment horizontal="center"/>
    </xf>
    <xf numFmtId="0" fontId="44" fillId="4" borderId="17" xfId="0" applyFont="1" applyFill="1" applyBorder="1"/>
    <xf numFmtId="164" fontId="15" fillId="4" borderId="18" xfId="1" applyNumberFormat="1" applyFont="1" applyFill="1" applyBorder="1" applyAlignment="1">
      <alignment horizontal="center"/>
    </xf>
    <xf numFmtId="0" fontId="30" fillId="4" borderId="0" xfId="0" applyFont="1" applyFill="1"/>
    <xf numFmtId="169" fontId="42" fillId="4" borderId="0" xfId="0" applyNumberFormat="1" applyFont="1" applyFill="1"/>
    <xf numFmtId="0" fontId="53" fillId="4" borderId="0" xfId="0" applyFont="1" applyFill="1" applyAlignment="1">
      <alignment horizontal="right"/>
    </xf>
    <xf numFmtId="0" fontId="54" fillId="0" borderId="0" xfId="0" applyFont="1" applyAlignment="1">
      <alignment horizontal="left" vertical="center"/>
    </xf>
    <xf numFmtId="168" fontId="0" fillId="4" borderId="0" xfId="0" applyNumberFormat="1" applyFill="1" applyAlignment="1" applyProtection="1">
      <alignment horizontal="center"/>
      <protection locked="0"/>
    </xf>
    <xf numFmtId="0" fontId="3" fillId="0" borderId="23" xfId="0" applyFont="1" applyBorder="1" applyAlignment="1">
      <alignment horizontal="left" vertical="center"/>
    </xf>
    <xf numFmtId="0" fontId="54" fillId="0" borderId="0" xfId="0" applyFont="1" applyAlignment="1">
      <alignment vertical="center"/>
    </xf>
    <xf numFmtId="169" fontId="0" fillId="4" borderId="0" xfId="0" applyNumberFormat="1" applyFill="1" applyAlignment="1" applyProtection="1">
      <alignment horizontal="center"/>
      <protection locked="0"/>
    </xf>
    <xf numFmtId="49" fontId="0" fillId="4" borderId="0" xfId="0" applyNumberFormat="1" applyFill="1" applyAlignment="1" applyProtection="1">
      <alignment horizontal="center"/>
      <protection locked="0"/>
    </xf>
    <xf numFmtId="167" fontId="0" fillId="4" borderId="0" xfId="0" applyNumberFormat="1" applyFill="1" applyAlignment="1" applyProtection="1">
      <alignment horizontal="center"/>
      <protection locked="0"/>
    </xf>
    <xf numFmtId="0" fontId="55" fillId="0" borderId="0" xfId="0" applyFont="1" applyAlignment="1">
      <alignment horizontal="left" vertical="center"/>
    </xf>
    <xf numFmtId="165" fontId="5" fillId="0" borderId="0" xfId="0" applyNumberFormat="1" applyFont="1" applyAlignment="1">
      <alignment horizontal="center" vertical="center"/>
    </xf>
    <xf numFmtId="166" fontId="5" fillId="0" borderId="0" xfId="0" applyNumberFormat="1" applyFont="1" applyAlignment="1">
      <alignment horizontal="center" vertical="center"/>
    </xf>
    <xf numFmtId="0" fontId="57" fillId="0" borderId="0" xfId="0" applyFont="1" applyAlignment="1">
      <alignment vertical="center"/>
    </xf>
    <xf numFmtId="0" fontId="60" fillId="2" borderId="0" xfId="0" applyFont="1" applyFill="1" applyAlignment="1">
      <alignment horizontal="right" vertical="center"/>
    </xf>
    <xf numFmtId="164" fontId="37" fillId="4" borderId="14" xfId="0" applyNumberFormat="1" applyFont="1" applyFill="1" applyBorder="1" applyAlignment="1" applyProtection="1">
      <alignment horizontal="center"/>
      <protection locked="0"/>
    </xf>
    <xf numFmtId="164" fontId="37" fillId="3" borderId="19" xfId="0" applyNumberFormat="1" applyFont="1" applyFill="1" applyBorder="1" applyAlignment="1" applyProtection="1">
      <alignment horizontal="center"/>
      <protection locked="0"/>
    </xf>
    <xf numFmtId="164" fontId="37" fillId="3" borderId="0" xfId="1" applyNumberFormat="1" applyFont="1" applyFill="1" applyBorder="1" applyAlignment="1">
      <alignment horizontal="center"/>
    </xf>
    <xf numFmtId="0" fontId="61" fillId="4" borderId="15" xfId="0" applyFont="1" applyFill="1" applyBorder="1"/>
    <xf numFmtId="164" fontId="37" fillId="3" borderId="18" xfId="1" applyNumberFormat="1" applyFont="1" applyFill="1" applyBorder="1" applyAlignment="1">
      <alignment horizontal="center"/>
    </xf>
    <xf numFmtId="164" fontId="37" fillId="4" borderId="19" xfId="1" applyNumberFormat="1" applyFont="1" applyFill="1" applyBorder="1" applyAlignment="1">
      <alignment horizontal="center"/>
    </xf>
    <xf numFmtId="0" fontId="62" fillId="0" borderId="0" xfId="5" applyFont="1" applyFill="1" applyAlignment="1">
      <alignment horizontal="center"/>
    </xf>
    <xf numFmtId="0" fontId="1" fillId="4" borderId="0" xfId="0" applyFont="1" applyFill="1" applyAlignment="1">
      <alignment horizontal="center" vertical="center"/>
    </xf>
    <xf numFmtId="0" fontId="36" fillId="4" borderId="18" xfId="0" applyFont="1" applyFill="1" applyBorder="1" applyAlignment="1">
      <alignment horizontal="right"/>
    </xf>
    <xf numFmtId="0" fontId="50" fillId="4" borderId="0" xfId="6" applyFont="1" applyFill="1" applyAlignment="1">
      <alignment vertical="center"/>
    </xf>
    <xf numFmtId="0" fontId="51" fillId="4" borderId="0" xfId="4" applyFont="1" applyFill="1" applyAlignment="1" applyProtection="1">
      <alignment horizontal="left" vertical="center"/>
      <protection locked="0"/>
    </xf>
    <xf numFmtId="0" fontId="46" fillId="4" borderId="0" xfId="4" applyFont="1" applyFill="1" applyAlignment="1" applyProtection="1">
      <alignment horizontal="left" vertical="center"/>
      <protection locked="0"/>
    </xf>
    <xf numFmtId="0" fontId="46" fillId="4" borderId="0" xfId="4" applyFont="1" applyFill="1" applyAlignment="1" applyProtection="1">
      <alignment horizontal="center" vertical="center"/>
      <protection locked="0"/>
    </xf>
    <xf numFmtId="9" fontId="21" fillId="4" borderId="0" xfId="4" applyNumberFormat="1" applyFont="1" applyFill="1" applyAlignment="1">
      <alignment vertical="center"/>
    </xf>
    <xf numFmtId="0" fontId="1" fillId="4" borderId="0" xfId="0" applyFont="1" applyFill="1" applyAlignment="1">
      <alignment vertical="center"/>
    </xf>
    <xf numFmtId="0" fontId="17" fillId="4" borderId="0" xfId="7" applyFont="1" applyFill="1" applyAlignment="1">
      <alignment vertical="center"/>
    </xf>
    <xf numFmtId="0" fontId="48" fillId="4" borderId="0" xfId="4" applyFont="1" applyFill="1" applyAlignment="1">
      <alignment horizontal="left" vertical="center"/>
    </xf>
    <xf numFmtId="0" fontId="47" fillId="4" borderId="0" xfId="4" applyFont="1" applyFill="1" applyAlignment="1">
      <alignment horizontal="center" vertical="center"/>
    </xf>
    <xf numFmtId="169" fontId="59" fillId="4" borderId="21" xfId="4" applyNumberFormat="1" applyFont="1" applyFill="1" applyBorder="1" applyAlignment="1">
      <alignment horizontal="center" vertical="center"/>
    </xf>
    <xf numFmtId="1" fontId="47" fillId="4" borderId="22" xfId="8" applyNumberFormat="1" applyFont="1" applyFill="1" applyBorder="1" applyAlignment="1" applyProtection="1">
      <alignment horizontal="center" vertical="center"/>
    </xf>
    <xf numFmtId="1" fontId="47" fillId="4" borderId="20" xfId="8" applyNumberFormat="1" applyFont="1" applyFill="1" applyBorder="1" applyAlignment="1" applyProtection="1">
      <alignment horizontal="center" vertical="center"/>
    </xf>
    <xf numFmtId="1" fontId="47" fillId="7" borderId="20" xfId="8" applyNumberFormat="1" applyFont="1" applyFill="1" applyBorder="1" applyAlignment="1" applyProtection="1">
      <alignment horizontal="center" vertical="center"/>
    </xf>
    <xf numFmtId="170" fontId="47" fillId="4" borderId="21" xfId="4" applyNumberFormat="1" applyFont="1" applyFill="1" applyBorder="1" applyAlignment="1" applyProtection="1">
      <alignment horizontal="center" vertical="center"/>
      <protection locked="0"/>
    </xf>
    <xf numFmtId="1" fontId="21" fillId="4" borderId="0" xfId="4" applyNumberFormat="1" applyFont="1" applyFill="1" applyAlignment="1">
      <alignment horizontal="center" vertical="center"/>
    </xf>
    <xf numFmtId="1" fontId="21" fillId="4" borderId="0" xfId="8" applyNumberFormat="1" applyFont="1" applyFill="1" applyBorder="1" applyAlignment="1" applyProtection="1">
      <alignment horizontal="center" vertical="center"/>
    </xf>
    <xf numFmtId="0" fontId="47" fillId="4" borderId="0" xfId="7" applyFont="1" applyFill="1" applyAlignment="1">
      <alignment horizontal="right" vertical="center" textRotation="90"/>
    </xf>
    <xf numFmtId="2" fontId="49" fillId="4" borderId="0" xfId="4" applyNumberFormat="1" applyFont="1" applyFill="1" applyAlignment="1" applyProtection="1">
      <alignment horizontal="center" vertical="center"/>
      <protection locked="0"/>
    </xf>
    <xf numFmtId="171" fontId="49" fillId="4" borderId="0" xfId="8" applyNumberFormat="1" applyFont="1" applyFill="1" applyBorder="1" applyAlignment="1" applyProtection="1">
      <alignment horizontal="center" vertical="center"/>
    </xf>
    <xf numFmtId="0" fontId="3" fillId="4" borderId="2" xfId="0" applyFont="1" applyFill="1" applyBorder="1" applyAlignment="1">
      <alignment horizontal="left" vertical="center"/>
    </xf>
    <xf numFmtId="0" fontId="4" fillId="4" borderId="2" xfId="0" applyFont="1" applyFill="1" applyBorder="1" applyAlignment="1">
      <alignment horizontal="center" vertical="center"/>
    </xf>
    <xf numFmtId="1" fontId="21" fillId="7" borderId="0" xfId="8" applyNumberFormat="1" applyFont="1" applyFill="1" applyBorder="1" applyAlignment="1" applyProtection="1">
      <alignment horizontal="center" vertical="center"/>
    </xf>
    <xf numFmtId="165" fontId="1" fillId="0" borderId="0" xfId="0" applyNumberFormat="1" applyFont="1" applyAlignment="1">
      <alignment vertical="center"/>
    </xf>
    <xf numFmtId="165" fontId="43" fillId="3" borderId="0" xfId="0" applyNumberFormat="1" applyFont="1" applyFill="1" applyAlignment="1">
      <alignment horizontal="center" vertical="center"/>
    </xf>
    <xf numFmtId="0" fontId="43" fillId="3" borderId="0" xfId="0" applyFont="1" applyFill="1" applyAlignment="1">
      <alignment horizontal="center" vertical="center"/>
    </xf>
    <xf numFmtId="0" fontId="64" fillId="4" borderId="0" xfId="0" applyFont="1" applyFill="1"/>
    <xf numFmtId="0" fontId="55" fillId="0" borderId="0" xfId="0" applyFont="1" applyAlignment="1">
      <alignment horizontal="left" vertical="center" wrapText="1"/>
    </xf>
    <xf numFmtId="0" fontId="58" fillId="0" borderId="0" xfId="0" applyFont="1" applyAlignment="1">
      <alignment horizontal="left" vertical="top"/>
    </xf>
    <xf numFmtId="165" fontId="5" fillId="0" borderId="0" xfId="0" applyNumberFormat="1" applyFont="1" applyAlignment="1">
      <alignment horizontal="center" vertical="top"/>
    </xf>
    <xf numFmtId="166" fontId="5" fillId="0" borderId="0" xfId="0" applyNumberFormat="1" applyFont="1" applyAlignment="1">
      <alignment horizontal="center" vertical="top"/>
    </xf>
    <xf numFmtId="0" fontId="57" fillId="0" borderId="0" xfId="0" applyFont="1" applyAlignment="1">
      <alignment vertical="top"/>
    </xf>
    <xf numFmtId="0" fontId="1" fillId="0" borderId="1" xfId="0" applyFont="1" applyBorder="1" applyAlignment="1">
      <alignment vertical="top"/>
    </xf>
    <xf numFmtId="0" fontId="1" fillId="0" borderId="0" xfId="0" applyFont="1" applyAlignment="1">
      <alignment vertical="top"/>
    </xf>
    <xf numFmtId="0" fontId="66" fillId="0" borderId="0" xfId="0" applyFont="1" applyAlignment="1">
      <alignment horizontal="center" vertical="center"/>
    </xf>
    <xf numFmtId="0" fontId="66" fillId="0" borderId="0" xfId="0" applyFont="1" applyAlignment="1">
      <alignment vertical="center"/>
    </xf>
    <xf numFmtId="0" fontId="67" fillId="4" borderId="0" xfId="0" applyFont="1" applyFill="1" applyAlignment="1">
      <alignment horizontal="center"/>
    </xf>
    <xf numFmtId="0" fontId="42" fillId="4" borderId="0" xfId="0" applyFont="1" applyFill="1"/>
    <xf numFmtId="0" fontId="67" fillId="4" borderId="0" xfId="0" applyFont="1" applyFill="1"/>
    <xf numFmtId="173" fontId="68" fillId="4" borderId="0" xfId="0" applyNumberFormat="1" applyFont="1" applyFill="1"/>
    <xf numFmtId="173" fontId="68" fillId="0" borderId="0" xfId="0" applyNumberFormat="1" applyFont="1" applyAlignment="1">
      <alignment horizontal="center" vertical="center"/>
    </xf>
    <xf numFmtId="0" fontId="25" fillId="5" borderId="10" xfId="2" applyFont="1" applyFill="1" applyBorder="1" applyAlignment="1">
      <alignment horizontal="left" vertical="center"/>
    </xf>
    <xf numFmtId="164" fontId="14" fillId="4" borderId="24" xfId="1" applyNumberFormat="1" applyFont="1" applyFill="1" applyBorder="1" applyAlignment="1">
      <alignment horizontal="center"/>
    </xf>
    <xf numFmtId="0" fontId="1" fillId="0" borderId="0" xfId="0" applyFont="1" applyAlignment="1">
      <alignment vertical="center" wrapText="1"/>
    </xf>
    <xf numFmtId="0" fontId="65" fillId="4" borderId="0" xfId="0" applyFont="1" applyFill="1" applyAlignment="1">
      <alignment horizontal="right"/>
    </xf>
    <xf numFmtId="0" fontId="63" fillId="3" borderId="0" xfId="0" applyFont="1" applyFill="1" applyAlignment="1">
      <alignment horizontal="center" vertical="center"/>
    </xf>
    <xf numFmtId="0" fontId="48" fillId="4" borderId="0" xfId="7" applyFont="1" applyFill="1" applyAlignment="1">
      <alignment horizontal="right" vertical="center" textRotation="90" wrapText="1"/>
    </xf>
    <xf numFmtId="0" fontId="54" fillId="3" borderId="0" xfId="0" applyFont="1" applyFill="1" applyAlignment="1">
      <alignment horizontal="left" vertical="center"/>
    </xf>
    <xf numFmtId="0" fontId="55" fillId="0" borderId="0" xfId="0" applyFont="1" applyAlignment="1">
      <alignment horizontal="left" vertical="center" wrapText="1"/>
    </xf>
    <xf numFmtId="0" fontId="58" fillId="0" borderId="0" xfId="0" applyFont="1" applyAlignment="1">
      <alignment horizontal="left" vertical="top" wrapText="1"/>
    </xf>
    <xf numFmtId="0" fontId="1" fillId="0" borderId="0" xfId="0" applyFont="1" applyAlignment="1">
      <alignment horizontal="left" vertical="center" wrapText="1"/>
    </xf>
    <xf numFmtId="0" fontId="35" fillId="5" borderId="7" xfId="2" applyFont="1" applyFill="1" applyBorder="1" applyAlignment="1">
      <alignment horizontal="left" vertical="center"/>
    </xf>
    <xf numFmtId="0" fontId="35" fillId="5" borderId="0" xfId="2" applyFont="1" applyFill="1" applyAlignment="1">
      <alignment horizontal="left" vertical="center"/>
    </xf>
    <xf numFmtId="0" fontId="35" fillId="5" borderId="8" xfId="2" applyFont="1" applyFill="1" applyBorder="1" applyAlignment="1">
      <alignment horizontal="left" vertical="center"/>
    </xf>
    <xf numFmtId="0" fontId="34" fillId="4" borderId="0" xfId="3" applyFont="1" applyFill="1" applyAlignment="1">
      <alignment horizontal="right" vertical="top"/>
    </xf>
    <xf numFmtId="0" fontId="19" fillId="4" borderId="5" xfId="3" applyFont="1" applyFill="1" applyBorder="1" applyAlignment="1">
      <alignment horizontal="center"/>
    </xf>
    <xf numFmtId="0" fontId="19" fillId="4" borderId="0" xfId="3" applyFont="1" applyFill="1" applyAlignment="1">
      <alignment horizontal="center"/>
    </xf>
    <xf numFmtId="0" fontId="30" fillId="4" borderId="0" xfId="0" applyFont="1" applyFill="1" applyAlignment="1">
      <alignment horizontal="right"/>
    </xf>
    <xf numFmtId="0" fontId="40" fillId="0" borderId="0" xfId="5" applyFill="1" applyAlignment="1">
      <alignment horizontal="center"/>
    </xf>
  </cellXfs>
  <cellStyles count="9">
    <cellStyle name="Comma 2 3" xfId="8" xr:uid="{A52F2034-B1A3-4C99-BAEE-8AA2A44D0F7E}"/>
    <cellStyle name="Currency" xfId="1" builtinId="4"/>
    <cellStyle name="Hyperlink" xfId="5" builtinId="8"/>
    <cellStyle name="Normal" xfId="0" builtinId="0"/>
    <cellStyle name="Normal 18 3" xfId="2" xr:uid="{5D78A895-FD5C-42E3-9FF5-2178020F4380}"/>
    <cellStyle name="Normal 18 3 2" xfId="7" xr:uid="{435CCA4F-0845-470A-8E85-D4026AA4E326}"/>
    <cellStyle name="Normal_Irrigated summer 08-09" xfId="3" xr:uid="{F3884375-2184-46E5-8D10-FEE40D26C571}"/>
    <cellStyle name="Normal_Irrigated summer 12-13" xfId="6" xr:uid="{09B976EE-4AC8-4BF1-9B58-947DA0606A3A}"/>
    <cellStyle name="Normal_Template- irrigated wheat 2013" xfId="4" xr:uid="{C3F3AA74-0B61-415F-BFCD-4ADCF0B11C6F}"/>
  </cellStyles>
  <dxfs count="20">
    <dxf>
      <fill>
        <patternFill patternType="solid">
          <fgColor theme="9" tint="0.79998168889431442"/>
          <bgColor theme="9" tint="0.79998168889431442"/>
        </patternFill>
      </fill>
    </dxf>
    <dxf>
      <fill>
        <patternFill patternType="solid">
          <fgColor theme="9" tint="0.79998168889431442"/>
          <bgColor theme="9" tint="0.79998168889431442"/>
        </patternFill>
      </fill>
    </dxf>
    <dxf>
      <font>
        <b/>
        <color theme="9" tint="-0.249977111117893"/>
      </font>
    </dxf>
    <dxf>
      <font>
        <b/>
        <color theme="9" tint="-0.249977111117893"/>
      </font>
    </dxf>
    <dxf>
      <font>
        <b val="0"/>
        <i val="0"/>
        <color theme="9" tint="-0.249977111117893"/>
      </font>
      <border>
        <top style="thin">
          <color theme="9"/>
        </top>
      </border>
    </dxf>
    <dxf>
      <font>
        <b val="0"/>
        <i val="0"/>
        <color theme="9" tint="-0.249977111117893"/>
      </font>
      <border>
        <bottom style="thin">
          <color theme="9"/>
        </bottom>
      </border>
    </dxf>
    <dxf>
      <font>
        <color theme="9" tint="-0.249977111117893"/>
      </font>
      <border>
        <top style="thin">
          <color theme="9"/>
        </top>
        <bottom style="thin">
          <color theme="9"/>
        </bottom>
      </border>
    </dxf>
    <dxf>
      <font>
        <b/>
        <color theme="1"/>
      </font>
    </dxf>
    <dxf>
      <font>
        <b val="0"/>
        <i val="0"/>
        <color theme="1"/>
      </font>
      <fill>
        <patternFill patternType="solid">
          <fgColor theme="9" tint="0.79998168889431442"/>
          <bgColor theme="9" tint="0.79998168889431442"/>
        </patternFill>
      </fill>
      <border>
        <bottom style="thin">
          <color theme="0"/>
        </bottom>
      </border>
    </dxf>
    <dxf>
      <border>
        <top style="thin">
          <color theme="9" tint="0.79998168889431442"/>
        </top>
      </border>
    </dxf>
    <dxf>
      <border>
        <top style="thin">
          <color theme="9" tint="0.79998168889431442"/>
        </top>
      </border>
    </dxf>
    <dxf>
      <font>
        <b val="0"/>
        <i val="0"/>
      </font>
    </dxf>
    <dxf>
      <font>
        <b/>
        <color theme="1"/>
      </font>
    </dxf>
    <dxf>
      <font>
        <b val="0"/>
        <i val="0"/>
        <color theme="1"/>
      </font>
      <fill>
        <patternFill patternType="solid">
          <fgColor theme="9" tint="0.79998168889431442"/>
          <bgColor theme="9" tint="0.79998168889431442"/>
        </patternFill>
      </fill>
      <border>
        <top style="thin">
          <color theme="9" tint="0.59999389629810485"/>
        </top>
        <bottom style="thin">
          <color theme="9" tint="0.59999389629810485"/>
        </bottom>
      </border>
    </dxf>
    <dxf>
      <border>
        <left style="thin">
          <color theme="9"/>
        </left>
        <right style="thin">
          <color theme="9"/>
        </right>
        <top style="thin">
          <color theme="9"/>
        </top>
        <bottom style="thin">
          <color theme="9"/>
        </bottom>
      </border>
    </dxf>
    <dxf>
      <border>
        <left style="thin">
          <color theme="9" tint="0.59999389629810485"/>
        </left>
        <right style="thin">
          <color theme="9" tint="0.59999389629810485"/>
        </right>
        <top style="thin">
          <color theme="9" tint="0.59999389629810485"/>
        </top>
        <bottom style="thin">
          <color theme="9" tint="0.59999389629810485"/>
        </bottom>
      </border>
    </dxf>
    <dxf>
      <border>
        <right style="thin">
          <color theme="9"/>
        </right>
      </border>
    </dxf>
    <dxf>
      <font>
        <b val="0"/>
        <i val="0"/>
        <color theme="1"/>
      </font>
      <border diagonalUp="0" diagonalDown="0">
        <left/>
        <right/>
        <top style="thin">
          <color theme="9"/>
        </top>
        <bottom style="thin">
          <color theme="9"/>
        </bottom>
        <vertical/>
        <horizontal/>
      </border>
    </dxf>
    <dxf>
      <font>
        <b val="0"/>
        <i val="0"/>
        <color theme="1"/>
      </font>
      <border diagonalUp="0" diagonalDown="0">
        <left/>
        <right/>
        <top style="thin">
          <color theme="9"/>
        </top>
        <bottom style="thin">
          <color theme="9"/>
        </bottom>
        <vertical/>
        <horizontal/>
      </border>
    </dxf>
    <dxf>
      <font>
        <color theme="9" tint="-0.249977111117893"/>
      </font>
      <border>
        <horizontal style="thin">
          <color theme="9" tint="0.79998168889431442"/>
        </horizontal>
      </border>
    </dxf>
  </dxfs>
  <tableStyles count="2" defaultTableStyle="TableStyleMedium2" defaultPivotStyle="PivotStyleLight16">
    <tableStyle name="PivotStyleLight14 2" table="0" count="13" xr9:uid="{00000000-0011-0000-FFFF-FFFF00000000}">
      <tableStyleElement type="wholeTable" dxfId="19"/>
      <tableStyleElement type="headerRow" dxfId="18"/>
      <tableStyleElement type="totalRow" dxfId="17"/>
      <tableStyleElement type="firstColumn" dxfId="16"/>
      <tableStyleElement type="firstRowStripe" dxfId="15"/>
      <tableStyleElement type="firstColumnStripe" dxfId="14"/>
      <tableStyleElement type="firstSubtotalRow" dxfId="13"/>
      <tableStyleElement type="secondSubtotalRow" dxfId="12"/>
      <tableStyleElement type="firstColumnSubheading" dxfId="11"/>
      <tableStyleElement type="secondColumnSubheading" dxfId="10"/>
      <tableStyleElement type="thirdColumnSubheading" dxfId="9"/>
      <tableStyleElement type="firstRowSubheading" dxfId="8"/>
      <tableStyleElement type="secondRowSubheading" dxfId="7"/>
    </tableStyle>
    <tableStyle name="TableStyleLight7 2" pivot="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EAB200"/>
      <color rgb="FFB5DAA7"/>
      <color rgb="FF558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51660085967515"/>
          <c:y val="7.6775447332849175E-2"/>
          <c:w val="0.50736566624824075"/>
          <c:h val="0.79817346979077586"/>
        </c:manualLayout>
      </c:layout>
      <c:barChart>
        <c:barDir val="bar"/>
        <c:grouping val="clustered"/>
        <c:varyColors val="0"/>
        <c:ser>
          <c:idx val="1"/>
          <c:order val="1"/>
          <c:tx>
            <c:v>Cotton #1</c:v>
          </c:tx>
          <c:spPr>
            <a:solidFill>
              <a:schemeClr val="accent4"/>
            </a:solidFill>
            <a:ln>
              <a:noFill/>
            </a:ln>
            <a:effectLst/>
          </c:spPr>
          <c:invertIfNegative val="0"/>
          <c:cat>
            <c:strRef>
              <c:f>'Gross Margin Comparison'!$D$64:$D$74</c:f>
              <c:strCache>
                <c:ptCount val="11"/>
                <c:pt idx="0">
                  <c:v>Labour</c:v>
                </c:pt>
                <c:pt idx="1">
                  <c:v>Picking, cartage &amp; ginning</c:v>
                </c:pt>
                <c:pt idx="2">
                  <c:v>Other</c:v>
                </c:pt>
                <c:pt idx="3">
                  <c:v>Licence fee</c:v>
                </c:pt>
                <c:pt idx="4">
                  <c:v>Irrigation costs (inc. pumping costs &amp; water fees)</c:v>
                </c:pt>
                <c:pt idx="5">
                  <c:v>Defoliation</c:v>
                </c:pt>
                <c:pt idx="6">
                  <c:v>Insecticides</c:v>
                </c:pt>
                <c:pt idx="7">
                  <c:v>Herbicides and growth regulants</c:v>
                </c:pt>
                <c:pt idx="8">
                  <c:v>Fertiliser</c:v>
                </c:pt>
                <c:pt idx="9">
                  <c:v>Planting</c:v>
                </c:pt>
                <c:pt idx="10">
                  <c:v>Farming / ground preparation</c:v>
                </c:pt>
              </c:strCache>
            </c:strRef>
          </c:cat>
          <c:val>
            <c:numRef>
              <c:f>'Gross Margin Comparison'!$F$64:$F$74</c:f>
              <c:numCache>
                <c:formatCode>"$"#,##0_);\("$"#,##0\)</c:formatCode>
                <c:ptCount val="11"/>
                <c:pt idx="0">
                  <c:v>0</c:v>
                </c:pt>
                <c:pt idx="1">
                  <c:v>1355.3333333333335</c:v>
                </c:pt>
                <c:pt idx="2">
                  <c:v>402.1</c:v>
                </c:pt>
                <c:pt idx="3">
                  <c:v>405</c:v>
                </c:pt>
                <c:pt idx="4">
                  <c:v>530.94599999999991</c:v>
                </c:pt>
                <c:pt idx="5">
                  <c:v>140.07999999999998</c:v>
                </c:pt>
                <c:pt idx="6">
                  <c:v>200.78</c:v>
                </c:pt>
                <c:pt idx="7">
                  <c:v>315.69</c:v>
                </c:pt>
                <c:pt idx="8">
                  <c:v>985.90000000000009</c:v>
                </c:pt>
                <c:pt idx="9">
                  <c:v>144</c:v>
                </c:pt>
                <c:pt idx="10">
                  <c:v>216.8</c:v>
                </c:pt>
              </c:numCache>
            </c:numRef>
          </c:val>
          <c:extLst>
            <c:ext xmlns:c16="http://schemas.microsoft.com/office/drawing/2014/chart" uri="{C3380CC4-5D6E-409C-BE32-E72D297353CC}">
              <c16:uniqueId val="{00000001-A86B-4C05-A263-D2BC11A79EEC}"/>
            </c:ext>
          </c:extLst>
        </c:ser>
        <c:ser>
          <c:idx val="2"/>
          <c:order val="2"/>
          <c:tx>
            <c:v>Cotton #2</c:v>
          </c:tx>
          <c:spPr>
            <a:solidFill>
              <a:schemeClr val="accent5">
                <a:lumMod val="50000"/>
              </a:schemeClr>
            </a:solidFill>
            <a:ln>
              <a:noFill/>
            </a:ln>
            <a:effectLst/>
          </c:spPr>
          <c:invertIfNegative val="0"/>
          <c:cat>
            <c:strRef>
              <c:f>'Gross Margin Comparison'!$D$64:$D$74</c:f>
              <c:strCache>
                <c:ptCount val="11"/>
                <c:pt idx="0">
                  <c:v>Labour</c:v>
                </c:pt>
                <c:pt idx="1">
                  <c:v>Picking, cartage &amp; ginning</c:v>
                </c:pt>
                <c:pt idx="2">
                  <c:v>Other</c:v>
                </c:pt>
                <c:pt idx="3">
                  <c:v>Licence fee</c:v>
                </c:pt>
                <c:pt idx="4">
                  <c:v>Irrigation costs (inc. pumping costs &amp; water fees)</c:v>
                </c:pt>
                <c:pt idx="5">
                  <c:v>Defoliation</c:v>
                </c:pt>
                <c:pt idx="6">
                  <c:v>Insecticides</c:v>
                </c:pt>
                <c:pt idx="7">
                  <c:v>Herbicides and growth regulants</c:v>
                </c:pt>
                <c:pt idx="8">
                  <c:v>Fertiliser</c:v>
                </c:pt>
                <c:pt idx="9">
                  <c:v>Planting</c:v>
                </c:pt>
                <c:pt idx="10">
                  <c:v>Farming / ground preparation</c:v>
                </c:pt>
              </c:strCache>
            </c:strRef>
          </c:cat>
          <c:val>
            <c:numRef>
              <c:f>'Gross Margin Comparison'!$G$64:$G$74</c:f>
              <c:numCache>
                <c:formatCode>"$"#,##0_);\("$"#,##0\)</c:formatCode>
                <c:ptCount val="11"/>
                <c:pt idx="0">
                  <c:v>0</c:v>
                </c:pt>
                <c:pt idx="1">
                  <c:v>1264.8055555555557</c:v>
                </c:pt>
                <c:pt idx="2">
                  <c:v>400.1</c:v>
                </c:pt>
                <c:pt idx="3">
                  <c:v>405</c:v>
                </c:pt>
                <c:pt idx="4">
                  <c:v>340.34999999999997</c:v>
                </c:pt>
                <c:pt idx="5">
                  <c:v>140.07999999999998</c:v>
                </c:pt>
                <c:pt idx="6">
                  <c:v>200.78</c:v>
                </c:pt>
                <c:pt idx="7">
                  <c:v>133.72</c:v>
                </c:pt>
                <c:pt idx="8">
                  <c:v>985.90000000000009</c:v>
                </c:pt>
                <c:pt idx="9">
                  <c:v>144</c:v>
                </c:pt>
                <c:pt idx="10">
                  <c:v>216.8</c:v>
                </c:pt>
              </c:numCache>
            </c:numRef>
          </c:val>
          <c:extLst>
            <c:ext xmlns:c16="http://schemas.microsoft.com/office/drawing/2014/chart" uri="{C3380CC4-5D6E-409C-BE32-E72D297353CC}">
              <c16:uniqueId val="{00000002-A86B-4C05-A263-D2BC11A79EEC}"/>
            </c:ext>
          </c:extLst>
        </c:ser>
        <c:dLbls>
          <c:showLegendKey val="0"/>
          <c:showVal val="0"/>
          <c:showCatName val="0"/>
          <c:showSerName val="0"/>
          <c:showPercent val="0"/>
          <c:showBubbleSize val="0"/>
        </c:dLbls>
        <c:gapWidth val="219"/>
        <c:axId val="559127200"/>
        <c:axId val="55913427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'Gross Margin Comparison'!$D$64:$D$74</c15:sqref>
                        </c15:formulaRef>
                      </c:ext>
                    </c:extLst>
                    <c:strCache>
                      <c:ptCount val="11"/>
                      <c:pt idx="0">
                        <c:v>Labour</c:v>
                      </c:pt>
                      <c:pt idx="1">
                        <c:v>Picking, cartage &amp; ginning</c:v>
                      </c:pt>
                      <c:pt idx="2">
                        <c:v>Other</c:v>
                      </c:pt>
                      <c:pt idx="3">
                        <c:v>Licence fee</c:v>
                      </c:pt>
                      <c:pt idx="4">
                        <c:v>Irrigation costs (inc. pumping costs &amp; water fees)</c:v>
                      </c:pt>
                      <c:pt idx="5">
                        <c:v>Defoliation</c:v>
                      </c:pt>
                      <c:pt idx="6">
                        <c:v>Insecticides</c:v>
                      </c:pt>
                      <c:pt idx="7">
                        <c:v>Herbicides and growth regulants</c:v>
                      </c:pt>
                      <c:pt idx="8">
                        <c:v>Fertiliser</c:v>
                      </c:pt>
                      <c:pt idx="9">
                        <c:v>Planting</c:v>
                      </c:pt>
                      <c:pt idx="10">
                        <c:v>Farming / ground preparation</c:v>
                      </c:pt>
                    </c:strCache>
                  </c:strRef>
                </c:cat>
                <c:val>
                  <c:numRef>
                    <c:extLst>
                      <c:ext uri="{02D57815-91ED-43cb-92C2-25804820EDAC}">
                        <c15:formulaRef>
                          <c15:sqref>'Gross Margin Comparison'!$E$64:$E$74</c15:sqref>
                        </c15:formulaRef>
                      </c:ext>
                    </c:extLst>
                    <c:numCache>
                      <c:formatCode>General</c:formatCode>
                      <c:ptCount val="11"/>
                    </c:numCache>
                  </c:numRef>
                </c:val>
                <c:extLst>
                  <c:ext xmlns:c16="http://schemas.microsoft.com/office/drawing/2014/chart" uri="{C3380CC4-5D6E-409C-BE32-E72D297353CC}">
                    <c16:uniqueId val="{00000000-A86B-4C05-A263-D2BC11A79EEC}"/>
                  </c:ext>
                </c:extLst>
              </c15:ser>
            </c15:filteredBarSeries>
          </c:ext>
        </c:extLst>
      </c:barChart>
      <c:catAx>
        <c:axId val="559127200"/>
        <c:scaling>
          <c:orientation val="minMax"/>
        </c:scaling>
        <c:delete val="0"/>
        <c:axPos val="l"/>
        <c:title>
          <c:tx>
            <c:rich>
              <a:bodyPr rot="-5400000" spcFirstLastPara="1" vertOverflow="ellipsis" vert="horz" wrap="square" anchor="ctr" anchorCtr="1"/>
              <a:lstStyle/>
              <a:p>
                <a:pPr>
                  <a:defRPr sz="1200" b="0" i="0" u="none" strike="noStrike" kern="1200" baseline="0">
                    <a:solidFill>
                      <a:srgbClr val="0070C0"/>
                    </a:solidFill>
                    <a:latin typeface="+mn-lt"/>
                    <a:ea typeface="+mn-ea"/>
                    <a:cs typeface="+mn-cs"/>
                  </a:defRPr>
                </a:pPr>
                <a:r>
                  <a:rPr lang="en-AU" sz="1200" b="0">
                    <a:solidFill>
                      <a:srgbClr val="0070C0"/>
                    </a:solidFill>
                  </a:rPr>
                  <a:t>Variable costs</a:t>
                </a:r>
              </a:p>
            </c:rich>
          </c:tx>
          <c:layout>
            <c:manualLayout>
              <c:xMode val="edge"/>
              <c:yMode val="edge"/>
              <c:x val="1.3306649168853891E-2"/>
              <c:y val="0.25435342982724113"/>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rgbClr val="0070C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59134272"/>
        <c:crosses val="autoZero"/>
        <c:auto val="1"/>
        <c:lblAlgn val="ctr"/>
        <c:lblOffset val="100"/>
        <c:noMultiLvlLbl val="0"/>
      </c:catAx>
      <c:valAx>
        <c:axId val="559134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rgbClr val="0070C0"/>
                    </a:solidFill>
                    <a:latin typeface="+mn-lt"/>
                    <a:ea typeface="+mn-ea"/>
                    <a:cs typeface="+mn-cs"/>
                  </a:defRPr>
                </a:pPr>
                <a:r>
                  <a:rPr lang="en-AU" sz="1200" b="0">
                    <a:solidFill>
                      <a:srgbClr val="0070C0"/>
                    </a:solidFill>
                  </a:rPr>
                  <a:t>$/ha</a:t>
                </a:r>
              </a:p>
            </c:rich>
          </c:tx>
          <c:layout>
            <c:manualLayout>
              <c:xMode val="edge"/>
              <c:yMode val="edge"/>
              <c:x val="0.68753839847098219"/>
              <c:y val="0.96185507246376811"/>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0070C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9127200"/>
        <c:crosses val="autoZero"/>
        <c:crossBetween val="between"/>
      </c:valAx>
      <c:spPr>
        <a:noFill/>
        <a:ln>
          <a:noFill/>
        </a:ln>
        <a:effectLst/>
      </c:spPr>
    </c:plotArea>
    <c:legend>
      <c:legendPos val="b"/>
      <c:layout>
        <c:manualLayout>
          <c:xMode val="edge"/>
          <c:yMode val="edge"/>
          <c:x val="2.9343914949020004E-2"/>
          <c:y val="1.1011936667711834E-2"/>
          <c:w val="0.31234535455925977"/>
          <c:h val="4.666791362028554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pPr>
      <a:endParaRPr lang="en-US"/>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638174</xdr:colOff>
      <xdr:row>1</xdr:row>
      <xdr:rowOff>9525</xdr:rowOff>
    </xdr:from>
    <xdr:to>
      <xdr:col>17</xdr:col>
      <xdr:colOff>408304</xdr:colOff>
      <xdr:row>1</xdr:row>
      <xdr:rowOff>602122</xdr:rowOff>
    </xdr:to>
    <xdr:pic>
      <xdr:nvPicPr>
        <xdr:cNvPr id="3" name="Picture 2">
          <a:extLst>
            <a:ext uri="{FF2B5EF4-FFF2-40B4-BE49-F238E27FC236}">
              <a16:creationId xmlns:a16="http://schemas.microsoft.com/office/drawing/2014/main" id="{F43C0DE5-E803-47B3-8AE0-0694BC2F53E1}"/>
            </a:ext>
          </a:extLst>
        </xdr:cNvPr>
        <xdr:cNvPicPr>
          <a:picLocks noChangeAspect="1"/>
        </xdr:cNvPicPr>
      </xdr:nvPicPr>
      <xdr:blipFill rotWithShape="1">
        <a:blip xmlns:r="http://schemas.openxmlformats.org/officeDocument/2006/relationships" r:embed="rId1"/>
        <a:srcRect t="19318" b="14772"/>
        <a:stretch/>
      </xdr:blipFill>
      <xdr:spPr>
        <a:xfrm>
          <a:off x="9553574" y="123825"/>
          <a:ext cx="2141855" cy="592597"/>
        </a:xfrm>
        <a:prstGeom prst="rect">
          <a:avLst/>
        </a:prstGeom>
      </xdr:spPr>
    </xdr:pic>
    <xdr:clientData/>
  </xdr:twoCellAnchor>
  <xdr:twoCellAnchor editAs="oneCell">
    <xdr:from>
      <xdr:col>17</xdr:col>
      <xdr:colOff>647700</xdr:colOff>
      <xdr:row>0</xdr:row>
      <xdr:rowOff>47625</xdr:rowOff>
    </xdr:from>
    <xdr:to>
      <xdr:col>18</xdr:col>
      <xdr:colOff>640016</xdr:colOff>
      <xdr:row>1</xdr:row>
      <xdr:rowOff>586105</xdr:rowOff>
    </xdr:to>
    <xdr:pic>
      <xdr:nvPicPr>
        <xdr:cNvPr id="5" name="Picture 4">
          <a:extLst>
            <a:ext uri="{FF2B5EF4-FFF2-40B4-BE49-F238E27FC236}">
              <a16:creationId xmlns:a16="http://schemas.microsoft.com/office/drawing/2014/main" id="{DF3B9D34-8D5F-44CF-8A9D-4AFEDFD71F4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2525" y="47625"/>
          <a:ext cx="782891" cy="652780"/>
        </a:xfrm>
        <a:prstGeom prst="rect">
          <a:avLst/>
        </a:prstGeom>
        <a:noFill/>
        <a:ln>
          <a:noFill/>
        </a:ln>
      </xdr:spPr>
    </xdr:pic>
    <xdr:clientData/>
  </xdr:twoCellAnchor>
  <xdr:twoCellAnchor>
    <xdr:from>
      <xdr:col>10</xdr:col>
      <xdr:colOff>85725</xdr:colOff>
      <xdr:row>6</xdr:row>
      <xdr:rowOff>47626</xdr:rowOff>
    </xdr:from>
    <xdr:to>
      <xdr:col>19</xdr:col>
      <xdr:colOff>247650</xdr:colOff>
      <xdr:row>23</xdr:row>
      <xdr:rowOff>171450</xdr:rowOff>
    </xdr:to>
    <xdr:graphicFrame macro="">
      <xdr:nvGraphicFramePr>
        <xdr:cNvPr id="7" name="Chart 6">
          <a:extLst>
            <a:ext uri="{FF2B5EF4-FFF2-40B4-BE49-F238E27FC236}">
              <a16:creationId xmlns:a16="http://schemas.microsoft.com/office/drawing/2014/main" id="{30E791F9-27FF-4BA5-94FD-2CCCF5B7B0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52</xdr:row>
      <xdr:rowOff>0</xdr:rowOff>
    </xdr:from>
    <xdr:to>
      <xdr:col>20</xdr:col>
      <xdr:colOff>323847</xdr:colOff>
      <xdr:row>55</xdr:row>
      <xdr:rowOff>38099</xdr:rowOff>
    </xdr:to>
    <xdr:sp macro="" textlink="">
      <xdr:nvSpPr>
        <xdr:cNvPr id="8" name="TextBox 7">
          <a:extLst>
            <a:ext uri="{FF2B5EF4-FFF2-40B4-BE49-F238E27FC236}">
              <a16:creationId xmlns:a16="http://schemas.microsoft.com/office/drawing/2014/main" id="{0E99D930-A8CE-4B66-B301-6615A43FE7A6}"/>
            </a:ext>
          </a:extLst>
        </xdr:cNvPr>
        <xdr:cNvSpPr txBox="1"/>
      </xdr:nvSpPr>
      <xdr:spPr>
        <a:xfrm rot="10800000" flipV="1">
          <a:off x="114297" y="12753975"/>
          <a:ext cx="14087475"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000">
              <a:latin typeface="+mn-lt"/>
            </a:rPr>
            <a:t>This budget </a:t>
          </a:r>
          <a:r>
            <a:rPr lang="en-US" sz="1000">
              <a:solidFill>
                <a:schemeClr val="dk1"/>
              </a:solidFill>
              <a:effectLst/>
              <a:latin typeface="+mn-lt"/>
              <a:ea typeface="+mn-ea"/>
              <a:cs typeface="+mn-cs"/>
            </a:rPr>
            <a:t>is designed to give an indication of operations and costs required to grow an Australian cotton crop. Prices</a:t>
          </a:r>
          <a:r>
            <a:rPr lang="en-US" sz="1000" baseline="0">
              <a:solidFill>
                <a:schemeClr val="dk1"/>
              </a:solidFill>
              <a:effectLst/>
              <a:latin typeface="+mn-lt"/>
              <a:ea typeface="+mn-ea"/>
              <a:cs typeface="+mn-cs"/>
            </a:rPr>
            <a:t> are estimates only. </a:t>
          </a:r>
          <a:r>
            <a:rPr lang="en-US" sz="1000">
              <a:solidFill>
                <a:schemeClr val="dk1"/>
              </a:solidFill>
              <a:effectLst/>
              <a:latin typeface="+mn-lt"/>
              <a:ea typeface="+mn-ea"/>
              <a:cs typeface="+mn-cs"/>
            </a:rPr>
            <a:t>This budget should be altered to take account of individual field management plans, movements in crop and input prices and changes in seasonal conditions. In all instances, operations should be tailored to the requirements of individual paddocks</a:t>
          </a:r>
          <a:r>
            <a:rPr lang="en-AU" sz="1000">
              <a:latin typeface="+mn-lt"/>
            </a:rPr>
            <a:t>. </a:t>
          </a:r>
          <a:r>
            <a:rPr lang="en-US" sz="1000">
              <a:solidFill>
                <a:schemeClr val="dk1"/>
              </a:solidFill>
              <a:effectLst/>
              <a:latin typeface="+mn-lt"/>
              <a:ea typeface="+mn-ea"/>
              <a:cs typeface="+mn-cs"/>
            </a:rPr>
            <a:t>For a complete guide to cotton management, see the </a:t>
          </a:r>
          <a:r>
            <a:rPr lang="en-US" sz="1000" b="1" i="1">
              <a:solidFill>
                <a:schemeClr val="dk1"/>
              </a:solidFill>
              <a:effectLst/>
              <a:latin typeface="+mn-lt"/>
              <a:ea typeface="+mn-ea"/>
              <a:cs typeface="+mn-cs"/>
            </a:rPr>
            <a:t>Australian Cotton Production Manual</a:t>
          </a:r>
          <a:r>
            <a:rPr lang="en-US" sz="1000" b="1">
              <a:solidFill>
                <a:schemeClr val="dk1"/>
              </a:solidFill>
              <a:effectLst/>
              <a:latin typeface="+mn-lt"/>
              <a:ea typeface="+mn-ea"/>
              <a:cs typeface="+mn-cs"/>
            </a:rPr>
            <a:t>. </a:t>
          </a:r>
          <a:endParaRPr lang="en-AU" sz="1000">
            <a:solidFill>
              <a:schemeClr val="dk1"/>
            </a:solidFill>
            <a:effectLst/>
            <a:latin typeface="+mn-lt"/>
            <a:ea typeface="+mn-ea"/>
            <a:cs typeface="+mn-cs"/>
          </a:endParaRPr>
        </a:p>
        <a:p>
          <a:pPr algn="ctr"/>
          <a:endParaRPr lang="en-AU" sz="1000">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514350</xdr:colOff>
      <xdr:row>1</xdr:row>
      <xdr:rowOff>79375</xdr:rowOff>
    </xdr:from>
    <xdr:to>
      <xdr:col>9</xdr:col>
      <xdr:colOff>611441</xdr:colOff>
      <xdr:row>4</xdr:row>
      <xdr:rowOff>151130</xdr:rowOff>
    </xdr:to>
    <xdr:pic>
      <xdr:nvPicPr>
        <xdr:cNvPr id="2" name="Picture 1">
          <a:extLst>
            <a:ext uri="{FF2B5EF4-FFF2-40B4-BE49-F238E27FC236}">
              <a16:creationId xmlns:a16="http://schemas.microsoft.com/office/drawing/2014/main" id="{3EADEEB3-A80B-4540-872D-9A13B75A48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79375"/>
          <a:ext cx="782891" cy="652780"/>
        </a:xfrm>
        <a:prstGeom prst="rect">
          <a:avLst/>
        </a:prstGeom>
        <a:noFill/>
        <a:ln>
          <a:noFill/>
        </a:ln>
      </xdr:spPr>
    </xdr:pic>
    <xdr:clientData/>
  </xdr:twoCellAnchor>
  <xdr:twoCellAnchor editAs="oneCell">
    <xdr:from>
      <xdr:col>1</xdr:col>
      <xdr:colOff>7620</xdr:colOff>
      <xdr:row>1</xdr:row>
      <xdr:rowOff>87264</xdr:rowOff>
    </xdr:from>
    <xdr:to>
      <xdr:col>3</xdr:col>
      <xdr:colOff>892175</xdr:colOff>
      <xdr:row>4</xdr:row>
      <xdr:rowOff>122554</xdr:rowOff>
    </xdr:to>
    <xdr:pic>
      <xdr:nvPicPr>
        <xdr:cNvPr id="3" name="Picture 2">
          <a:extLst>
            <a:ext uri="{FF2B5EF4-FFF2-40B4-BE49-F238E27FC236}">
              <a16:creationId xmlns:a16="http://schemas.microsoft.com/office/drawing/2014/main" id="{07AB9F31-8C5C-45ED-A854-7AAAD0320657}"/>
            </a:ext>
          </a:extLst>
        </xdr:cNvPr>
        <xdr:cNvPicPr>
          <a:picLocks noChangeAspect="1"/>
        </xdr:cNvPicPr>
      </xdr:nvPicPr>
      <xdr:blipFill rotWithShape="1">
        <a:blip xmlns:r="http://schemas.openxmlformats.org/officeDocument/2006/relationships" r:embed="rId2"/>
        <a:srcRect t="19318" b="14772"/>
        <a:stretch/>
      </xdr:blipFill>
      <xdr:spPr>
        <a:xfrm>
          <a:off x="207645" y="87264"/>
          <a:ext cx="2227580" cy="616315"/>
        </a:xfrm>
        <a:prstGeom prst="rect">
          <a:avLst/>
        </a:prstGeom>
      </xdr:spPr>
    </xdr:pic>
    <xdr:clientData/>
  </xdr:twoCellAnchor>
  <xdr:twoCellAnchor>
    <xdr:from>
      <xdr:col>0</xdr:col>
      <xdr:colOff>114300</xdr:colOff>
      <xdr:row>124</xdr:row>
      <xdr:rowOff>95250</xdr:rowOff>
    </xdr:from>
    <xdr:to>
      <xdr:col>9</xdr:col>
      <xdr:colOff>657225</xdr:colOff>
      <xdr:row>124</xdr:row>
      <xdr:rowOff>838201</xdr:rowOff>
    </xdr:to>
    <xdr:sp macro="" textlink="">
      <xdr:nvSpPr>
        <xdr:cNvPr id="5" name="TextBox 4">
          <a:extLst>
            <a:ext uri="{FF2B5EF4-FFF2-40B4-BE49-F238E27FC236}">
              <a16:creationId xmlns:a16="http://schemas.microsoft.com/office/drawing/2014/main" id="{8C4B206C-C7E0-4C50-97FC-6F73F463442B}"/>
            </a:ext>
          </a:extLst>
        </xdr:cNvPr>
        <xdr:cNvSpPr txBox="1"/>
      </xdr:nvSpPr>
      <xdr:spPr>
        <a:xfrm rot="10800000" flipV="1">
          <a:off x="114300" y="24060150"/>
          <a:ext cx="8724900" cy="7429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000">
              <a:latin typeface="+mn-lt"/>
            </a:rPr>
            <a:t>This budget </a:t>
          </a:r>
          <a:r>
            <a:rPr lang="en-US" sz="1000">
              <a:solidFill>
                <a:schemeClr val="dk1"/>
              </a:solidFill>
              <a:effectLst/>
              <a:latin typeface="+mn-lt"/>
              <a:ea typeface="+mn-ea"/>
              <a:cs typeface="+mn-cs"/>
            </a:rPr>
            <a:t>is designed to give an indication of operations and costs required to grow an Australian cotton crop. Prices</a:t>
          </a:r>
          <a:r>
            <a:rPr lang="en-US" sz="1000" baseline="0">
              <a:solidFill>
                <a:schemeClr val="dk1"/>
              </a:solidFill>
              <a:effectLst/>
              <a:latin typeface="+mn-lt"/>
              <a:ea typeface="+mn-ea"/>
              <a:cs typeface="+mn-cs"/>
            </a:rPr>
            <a:t> are estimates only. </a:t>
          </a:r>
          <a:r>
            <a:rPr lang="en-US" sz="1000">
              <a:solidFill>
                <a:schemeClr val="dk1"/>
              </a:solidFill>
              <a:effectLst/>
              <a:latin typeface="+mn-lt"/>
              <a:ea typeface="+mn-ea"/>
              <a:cs typeface="+mn-cs"/>
            </a:rPr>
            <a:t>This budget should be altered to take account of individual field management plans, movements in crop and input prices and changes in seasonal conditions. In all instances, operations should be tailored to the requirements of individual paddocks</a:t>
          </a:r>
          <a:r>
            <a:rPr lang="en-AU" sz="1000">
              <a:latin typeface="+mn-lt"/>
            </a:rPr>
            <a:t>. </a:t>
          </a:r>
          <a:r>
            <a:rPr lang="en-US" sz="1000">
              <a:solidFill>
                <a:schemeClr val="dk1"/>
              </a:solidFill>
              <a:effectLst/>
              <a:latin typeface="+mn-lt"/>
              <a:ea typeface="+mn-ea"/>
              <a:cs typeface="+mn-cs"/>
            </a:rPr>
            <a:t>For a complete guide to cotton management, see the </a:t>
          </a:r>
          <a:r>
            <a:rPr lang="en-US" sz="1000" b="1" i="1">
              <a:solidFill>
                <a:schemeClr val="dk1"/>
              </a:solidFill>
              <a:effectLst/>
              <a:latin typeface="+mn-lt"/>
              <a:ea typeface="+mn-ea"/>
              <a:cs typeface="+mn-cs"/>
            </a:rPr>
            <a:t>Australian Cotton Production Manual</a:t>
          </a:r>
          <a:r>
            <a:rPr lang="en-US" sz="1000" b="1">
              <a:solidFill>
                <a:schemeClr val="dk1"/>
              </a:solidFill>
              <a:effectLst/>
              <a:latin typeface="+mn-lt"/>
              <a:ea typeface="+mn-ea"/>
              <a:cs typeface="+mn-cs"/>
            </a:rPr>
            <a:t>. </a:t>
          </a:r>
          <a:endParaRPr lang="en-AU" sz="1000">
            <a:solidFill>
              <a:schemeClr val="dk1"/>
            </a:solidFill>
            <a:effectLst/>
            <a:latin typeface="+mn-lt"/>
            <a:ea typeface="+mn-ea"/>
            <a:cs typeface="+mn-cs"/>
          </a:endParaRPr>
        </a:p>
        <a:p>
          <a:pPr algn="ctr"/>
          <a:endParaRPr lang="en-AU" sz="1000">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514350</xdr:colOff>
      <xdr:row>1</xdr:row>
      <xdr:rowOff>79375</xdr:rowOff>
    </xdr:from>
    <xdr:to>
      <xdr:col>9</xdr:col>
      <xdr:colOff>611441</xdr:colOff>
      <xdr:row>4</xdr:row>
      <xdr:rowOff>151130</xdr:rowOff>
    </xdr:to>
    <xdr:pic>
      <xdr:nvPicPr>
        <xdr:cNvPr id="2" name="Picture 1">
          <a:extLst>
            <a:ext uri="{FF2B5EF4-FFF2-40B4-BE49-F238E27FC236}">
              <a16:creationId xmlns:a16="http://schemas.microsoft.com/office/drawing/2014/main" id="{84F53EDB-DC9D-4183-B66B-2197EB5862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62875" y="184150"/>
          <a:ext cx="782891" cy="652780"/>
        </a:xfrm>
        <a:prstGeom prst="rect">
          <a:avLst/>
        </a:prstGeom>
        <a:noFill/>
        <a:ln>
          <a:noFill/>
        </a:ln>
      </xdr:spPr>
    </xdr:pic>
    <xdr:clientData/>
  </xdr:twoCellAnchor>
  <xdr:twoCellAnchor editAs="oneCell">
    <xdr:from>
      <xdr:col>1</xdr:col>
      <xdr:colOff>7620</xdr:colOff>
      <xdr:row>1</xdr:row>
      <xdr:rowOff>87264</xdr:rowOff>
    </xdr:from>
    <xdr:to>
      <xdr:col>3</xdr:col>
      <xdr:colOff>939800</xdr:colOff>
      <xdr:row>4</xdr:row>
      <xdr:rowOff>122554</xdr:rowOff>
    </xdr:to>
    <xdr:pic>
      <xdr:nvPicPr>
        <xdr:cNvPr id="3" name="Picture 2">
          <a:extLst>
            <a:ext uri="{FF2B5EF4-FFF2-40B4-BE49-F238E27FC236}">
              <a16:creationId xmlns:a16="http://schemas.microsoft.com/office/drawing/2014/main" id="{B1CBB60C-3013-440B-856B-04F9ADAABB50}"/>
            </a:ext>
          </a:extLst>
        </xdr:cNvPr>
        <xdr:cNvPicPr>
          <a:picLocks noChangeAspect="1"/>
        </xdr:cNvPicPr>
      </xdr:nvPicPr>
      <xdr:blipFill rotWithShape="1">
        <a:blip xmlns:r="http://schemas.openxmlformats.org/officeDocument/2006/relationships" r:embed="rId2"/>
        <a:srcRect t="19318" b="14772"/>
        <a:stretch/>
      </xdr:blipFill>
      <xdr:spPr>
        <a:xfrm>
          <a:off x="131445" y="192039"/>
          <a:ext cx="2227580" cy="616315"/>
        </a:xfrm>
        <a:prstGeom prst="rect">
          <a:avLst/>
        </a:prstGeom>
      </xdr:spPr>
    </xdr:pic>
    <xdr:clientData/>
  </xdr:twoCellAnchor>
  <xdr:twoCellAnchor>
    <xdr:from>
      <xdr:col>0</xdr:col>
      <xdr:colOff>104772</xdr:colOff>
      <xdr:row>124</xdr:row>
      <xdr:rowOff>66674</xdr:rowOff>
    </xdr:from>
    <xdr:to>
      <xdr:col>10</xdr:col>
      <xdr:colOff>28572</xdr:colOff>
      <xdr:row>127</xdr:row>
      <xdr:rowOff>180975</xdr:rowOff>
    </xdr:to>
    <xdr:sp macro="" textlink="">
      <xdr:nvSpPr>
        <xdr:cNvPr id="4" name="TextBox 3">
          <a:extLst>
            <a:ext uri="{FF2B5EF4-FFF2-40B4-BE49-F238E27FC236}">
              <a16:creationId xmlns:a16="http://schemas.microsoft.com/office/drawing/2014/main" id="{6C8FA074-440A-473D-A67B-09F49EAB5289}"/>
            </a:ext>
          </a:extLst>
        </xdr:cNvPr>
        <xdr:cNvSpPr txBox="1"/>
      </xdr:nvSpPr>
      <xdr:spPr>
        <a:xfrm rot="10800000" flipV="1">
          <a:off x="104772" y="22688549"/>
          <a:ext cx="8639175" cy="7429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000">
              <a:latin typeface="+mn-lt"/>
            </a:rPr>
            <a:t>This budget </a:t>
          </a:r>
          <a:r>
            <a:rPr lang="en-US" sz="1000">
              <a:solidFill>
                <a:schemeClr val="dk1"/>
              </a:solidFill>
              <a:effectLst/>
              <a:latin typeface="+mn-lt"/>
              <a:ea typeface="+mn-ea"/>
              <a:cs typeface="+mn-cs"/>
            </a:rPr>
            <a:t>is designed to give an indication of operations and costs required to grow an Australian cotton crop. Prices</a:t>
          </a:r>
          <a:r>
            <a:rPr lang="en-US" sz="1000" baseline="0">
              <a:solidFill>
                <a:schemeClr val="dk1"/>
              </a:solidFill>
              <a:effectLst/>
              <a:latin typeface="+mn-lt"/>
              <a:ea typeface="+mn-ea"/>
              <a:cs typeface="+mn-cs"/>
            </a:rPr>
            <a:t> are estimates only. </a:t>
          </a:r>
          <a:r>
            <a:rPr lang="en-US" sz="1000">
              <a:solidFill>
                <a:schemeClr val="dk1"/>
              </a:solidFill>
              <a:effectLst/>
              <a:latin typeface="+mn-lt"/>
              <a:ea typeface="+mn-ea"/>
              <a:cs typeface="+mn-cs"/>
            </a:rPr>
            <a:t>This budget should be altered to take account of individual field management plans, movements in crop and input prices and changes in seasonal conditions. In all instances, operations should be tailored to the requirements of individual paddocks</a:t>
          </a:r>
          <a:r>
            <a:rPr lang="en-AU" sz="1000">
              <a:latin typeface="+mn-lt"/>
            </a:rPr>
            <a:t>. </a:t>
          </a:r>
          <a:r>
            <a:rPr lang="en-US" sz="1000">
              <a:solidFill>
                <a:schemeClr val="dk1"/>
              </a:solidFill>
              <a:effectLst/>
              <a:latin typeface="+mn-lt"/>
              <a:ea typeface="+mn-ea"/>
              <a:cs typeface="+mn-cs"/>
            </a:rPr>
            <a:t>For a complete guide to cotton management, see the </a:t>
          </a:r>
          <a:r>
            <a:rPr lang="en-US" sz="1000" b="1" i="1">
              <a:solidFill>
                <a:schemeClr val="dk1"/>
              </a:solidFill>
              <a:effectLst/>
              <a:latin typeface="+mn-lt"/>
              <a:ea typeface="+mn-ea"/>
              <a:cs typeface="+mn-cs"/>
            </a:rPr>
            <a:t>Australian Cotton Production Manual</a:t>
          </a:r>
          <a:r>
            <a:rPr lang="en-US" sz="1000" b="1">
              <a:solidFill>
                <a:schemeClr val="dk1"/>
              </a:solidFill>
              <a:effectLst/>
              <a:latin typeface="+mn-lt"/>
              <a:ea typeface="+mn-ea"/>
              <a:cs typeface="+mn-cs"/>
            </a:rPr>
            <a:t>. </a:t>
          </a:r>
          <a:endParaRPr lang="en-AU" sz="1000">
            <a:solidFill>
              <a:schemeClr val="dk1"/>
            </a:solidFill>
            <a:effectLst/>
            <a:latin typeface="+mn-lt"/>
            <a:ea typeface="+mn-ea"/>
            <a:cs typeface="+mn-cs"/>
          </a:endParaRPr>
        </a:p>
        <a:p>
          <a:pPr algn="ctr"/>
          <a:endParaRPr lang="en-AU" sz="1000">
            <a:latin typeface="+mn-lt"/>
          </a:endParaRPr>
        </a:p>
      </xdr:txBody>
    </xdr:sp>
    <xdr:clientData/>
  </xdr:twoCellAnchor>
</xdr:wsDr>
</file>

<file path=xl/theme/theme1.xml><?xml version="1.0" encoding="utf-8"?>
<a:theme xmlns:a="http://schemas.openxmlformats.org/drawingml/2006/main" name="Family Templates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amily Templates Font">
      <a:majorFont>
        <a:latin typeface="Corbel"/>
        <a:ea typeface=""/>
        <a:cs typeface=""/>
      </a:majorFont>
      <a:minorFont>
        <a:latin typeface="Trebuchet M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ttoninfo.com.au/publications/australian-cotton-industry-gross-margin-budget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rop.bayer.com.au/programs/customer-programs/cotton-choices/cotton-choices-guide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rop.bayer.com.au/programs/customer-programs/cotton-choices/cotton-choices-gui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74"/>
  <sheetViews>
    <sheetView showGridLines="0" tabSelected="1" zoomScale="90" zoomScaleNormal="90" workbookViewId="0">
      <selection activeCell="F8" sqref="F8"/>
    </sheetView>
  </sheetViews>
  <sheetFormatPr defaultColWidth="9" defaultRowHeight="15" customHeight="1"/>
  <cols>
    <col min="1" max="1" width="1.75" style="1" customWidth="1"/>
    <col min="2" max="2" width="12.75" style="1" customWidth="1"/>
    <col min="3" max="3" width="9.875" style="1" customWidth="1"/>
    <col min="4" max="4" width="9.875" style="2" customWidth="1"/>
    <col min="5" max="5" width="12.375" style="2" customWidth="1"/>
    <col min="6" max="9" width="10.875" style="2" customWidth="1"/>
    <col min="10" max="10" width="6.375" style="1" customWidth="1"/>
    <col min="11" max="11" width="3.375" style="1" customWidth="1"/>
    <col min="12" max="12" width="8.125" style="1" customWidth="1"/>
    <col min="13" max="19" width="10.375" style="1" customWidth="1"/>
    <col min="20" max="20" width="4.75" style="1" customWidth="1"/>
    <col min="21" max="21" width="12.875" style="1" customWidth="1"/>
    <col min="22" max="16384" width="9" style="1"/>
  </cols>
  <sheetData>
    <row r="1" spans="2:21" ht="9" customHeight="1">
      <c r="P1" s="1" t="s">
        <v>0</v>
      </c>
    </row>
    <row r="2" spans="2:21" ht="51" customHeight="1"/>
    <row r="3" spans="2:21" s="3" customFormat="1" ht="43.5" customHeight="1">
      <c r="B3" s="20" t="s">
        <v>1</v>
      </c>
      <c r="C3" s="20"/>
      <c r="D3" s="16"/>
      <c r="E3" s="16"/>
      <c r="F3" s="16"/>
      <c r="G3" s="16"/>
      <c r="H3" s="16"/>
      <c r="I3" s="16"/>
      <c r="J3" s="17"/>
      <c r="K3" s="17"/>
      <c r="L3" s="17"/>
      <c r="M3" s="17"/>
      <c r="N3" s="17"/>
      <c r="O3" s="17"/>
      <c r="P3" s="17"/>
      <c r="Q3" s="17"/>
      <c r="R3" s="17"/>
      <c r="S3" s="155" t="s">
        <v>148</v>
      </c>
    </row>
    <row r="4" spans="2:21" ht="6" customHeight="1">
      <c r="B4" s="18"/>
      <c r="C4" s="18"/>
      <c r="D4" s="19"/>
      <c r="E4" s="19"/>
      <c r="F4" s="19"/>
      <c r="G4" s="19"/>
      <c r="H4" s="19"/>
      <c r="I4" s="19"/>
      <c r="J4" s="18"/>
      <c r="K4" s="18"/>
      <c r="L4" s="18"/>
      <c r="M4" s="18"/>
      <c r="N4" s="18"/>
      <c r="O4" s="18"/>
      <c r="P4" s="18"/>
      <c r="Q4" s="18"/>
      <c r="R4" s="18"/>
      <c r="S4" s="18"/>
    </row>
    <row r="5" spans="2:21" ht="22.5" customHeight="1">
      <c r="R5" s="209" t="s">
        <v>2</v>
      </c>
      <c r="S5" s="209"/>
    </row>
    <row r="6" spans="2:21" s="7" customFormat="1" ht="27.95" customHeight="1">
      <c r="B6" s="5" t="s">
        <v>3</v>
      </c>
      <c r="C6" s="5"/>
      <c r="D6" s="6"/>
      <c r="E6" s="6"/>
      <c r="F6" s="6"/>
      <c r="G6" s="6"/>
      <c r="H6" s="6"/>
      <c r="I6" s="6"/>
      <c r="K6" s="8"/>
      <c r="L6" s="146" t="s">
        <v>130</v>
      </c>
      <c r="M6" s="9"/>
      <c r="N6" s="9"/>
      <c r="O6" s="9"/>
      <c r="P6" s="6"/>
      <c r="Q6" s="6"/>
      <c r="R6" s="6"/>
      <c r="S6" s="6"/>
    </row>
    <row r="7" spans="2:21" ht="48" customHeight="1">
      <c r="C7" s="14" t="s">
        <v>4</v>
      </c>
      <c r="D7" s="14" t="s">
        <v>5</v>
      </c>
      <c r="E7" s="105" t="s">
        <v>141</v>
      </c>
      <c r="F7" s="14" t="s">
        <v>6</v>
      </c>
      <c r="G7" s="14" t="s">
        <v>7</v>
      </c>
      <c r="H7" s="105" t="s">
        <v>8</v>
      </c>
      <c r="I7" s="105" t="s">
        <v>9</v>
      </c>
      <c r="J7" s="14"/>
      <c r="K7" s="8"/>
    </row>
    <row r="8" spans="2:21" ht="28.5" customHeight="1">
      <c r="B8" s="10" t="s">
        <v>10</v>
      </c>
      <c r="C8" s="188">
        <v>573</v>
      </c>
      <c r="D8" s="189">
        <v>12</v>
      </c>
      <c r="E8" s="189">
        <v>7.8</v>
      </c>
      <c r="F8" s="107">
        <f>'Cotton#1'!J14</f>
        <v>7896</v>
      </c>
      <c r="G8" s="107">
        <f>'Cotton#1'!J122</f>
        <v>4696.6293333333333</v>
      </c>
      <c r="H8" s="108">
        <f>'Cotton#1'!J14-'Cotton#1'!J122</f>
        <v>3199.3706666666667</v>
      </c>
      <c r="I8" s="108">
        <f>H8/E8</f>
        <v>410.17572649572651</v>
      </c>
      <c r="J8" s="11"/>
      <c r="K8" s="8"/>
      <c r="U8" s="187"/>
    </row>
    <row r="9" spans="2:21" ht="14.25" customHeight="1">
      <c r="B9" s="106" t="s">
        <v>11</v>
      </c>
      <c r="C9" s="211" t="s">
        <v>31</v>
      </c>
      <c r="D9" s="211"/>
      <c r="E9" s="211"/>
      <c r="F9" s="211"/>
      <c r="G9" s="211"/>
      <c r="H9" s="211"/>
      <c r="I9" s="144"/>
      <c r="J9" s="11"/>
      <c r="K9" s="8"/>
    </row>
    <row r="10" spans="2:21" ht="28.5" customHeight="1">
      <c r="B10" s="10" t="s">
        <v>12</v>
      </c>
      <c r="C10" s="188">
        <v>573</v>
      </c>
      <c r="D10" s="189">
        <v>11</v>
      </c>
      <c r="E10" s="189">
        <v>5</v>
      </c>
      <c r="F10" s="108">
        <f>'Cotton#2'!J14</f>
        <v>7238</v>
      </c>
      <c r="G10" s="108">
        <f>'Cotton#2'!J122</f>
        <v>4413.5055555555555</v>
      </c>
      <c r="H10" s="108">
        <f>F10-G10</f>
        <v>2824.4944444444445</v>
      </c>
      <c r="I10" s="108">
        <f>H10/E10</f>
        <v>564.89888888888891</v>
      </c>
      <c r="J10" s="12"/>
      <c r="K10" s="8"/>
    </row>
    <row r="11" spans="2:21" ht="18" customHeight="1">
      <c r="B11" s="106" t="s">
        <v>11</v>
      </c>
      <c r="C11" s="211" t="s">
        <v>135</v>
      </c>
      <c r="D11" s="211"/>
      <c r="E11" s="211"/>
      <c r="F11" s="211"/>
      <c r="G11" s="211"/>
      <c r="H11" s="211"/>
      <c r="I11" s="147"/>
      <c r="J11" s="12"/>
      <c r="K11" s="8"/>
    </row>
    <row r="12" spans="2:21" ht="18" customHeight="1">
      <c r="B12" s="106"/>
      <c r="C12" s="106"/>
      <c r="D12" s="144"/>
      <c r="E12" s="144"/>
      <c r="F12" s="144"/>
      <c r="G12" s="144"/>
      <c r="H12" s="144"/>
      <c r="I12" s="144"/>
      <c r="J12" s="12"/>
      <c r="K12" s="8"/>
    </row>
    <row r="13" spans="2:21" ht="27.75" customHeight="1">
      <c r="B13" s="5" t="s">
        <v>13</v>
      </c>
      <c r="C13" s="5"/>
      <c r="D13" s="13"/>
      <c r="E13" s="13"/>
      <c r="F13" s="13"/>
      <c r="G13" s="13"/>
      <c r="H13" s="13"/>
      <c r="I13" s="13"/>
      <c r="K13" s="8"/>
    </row>
    <row r="14" spans="2:21" ht="6.75" customHeight="1">
      <c r="D14" s="15"/>
      <c r="E14" s="15"/>
      <c r="F14" s="15"/>
      <c r="G14" s="15"/>
      <c r="H14" s="15"/>
      <c r="I14" s="15"/>
      <c r="K14" s="4"/>
    </row>
    <row r="15" spans="2:21" ht="33" customHeight="1">
      <c r="B15" s="214" t="s">
        <v>142</v>
      </c>
      <c r="C15" s="214"/>
      <c r="D15" s="214"/>
      <c r="E15" s="214"/>
      <c r="F15" s="214"/>
      <c r="G15" s="214"/>
      <c r="H15" s="214"/>
      <c r="I15" s="207"/>
      <c r="K15" s="4"/>
    </row>
    <row r="16" spans="2:21" ht="24.75" customHeight="1">
      <c r="B16" s="151" t="s">
        <v>14</v>
      </c>
      <c r="C16" s="151"/>
      <c r="D16" s="152"/>
      <c r="E16" s="152"/>
      <c r="F16" s="152"/>
      <c r="G16" s="153"/>
      <c r="H16" s="153"/>
      <c r="I16" s="153"/>
      <c r="J16" s="154"/>
      <c r="K16" s="4"/>
    </row>
    <row r="17" spans="2:19" ht="24.75" customHeight="1">
      <c r="B17" s="151" t="s">
        <v>15</v>
      </c>
      <c r="C17" s="151"/>
      <c r="D17" s="152"/>
      <c r="E17" s="152"/>
      <c r="F17" s="152"/>
      <c r="G17" s="153"/>
      <c r="H17" s="153"/>
      <c r="I17" s="153"/>
      <c r="J17" s="154"/>
      <c r="K17" s="4"/>
    </row>
    <row r="18" spans="2:19" ht="24.75" customHeight="1">
      <c r="B18" s="151" t="s">
        <v>16</v>
      </c>
      <c r="C18" s="151"/>
      <c r="D18" s="152"/>
      <c r="E18" s="152"/>
      <c r="F18" s="152"/>
      <c r="G18" s="153"/>
      <c r="H18" s="153"/>
      <c r="I18" s="153"/>
      <c r="J18" s="154"/>
      <c r="K18" s="4"/>
    </row>
    <row r="19" spans="2:19" ht="24.75" customHeight="1">
      <c r="B19" s="151" t="s">
        <v>17</v>
      </c>
      <c r="C19" s="151"/>
      <c r="D19" s="152"/>
      <c r="E19" s="152"/>
      <c r="F19" s="152"/>
      <c r="G19" s="153"/>
      <c r="H19" s="222" t="s">
        <v>18</v>
      </c>
      <c r="I19" s="153"/>
      <c r="J19" s="154"/>
      <c r="K19" s="4"/>
    </row>
    <row r="20" spans="2:19" ht="24.75" customHeight="1">
      <c r="B20" s="151" t="s">
        <v>19</v>
      </c>
      <c r="C20" s="151"/>
      <c r="D20" s="152"/>
      <c r="E20" s="152"/>
      <c r="F20" s="152"/>
      <c r="G20" s="153"/>
      <c r="H20" s="153"/>
      <c r="I20" s="153"/>
      <c r="J20" s="154"/>
      <c r="K20" s="4"/>
    </row>
    <row r="21" spans="2:19" s="197" customFormat="1" ht="17.25" customHeight="1">
      <c r="B21" s="192" t="s">
        <v>20</v>
      </c>
      <c r="C21" s="192"/>
      <c r="D21" s="193"/>
      <c r="E21" s="193"/>
      <c r="F21" s="193"/>
      <c r="G21" s="194"/>
      <c r="H21" s="194"/>
      <c r="I21" s="194"/>
      <c r="J21" s="195"/>
      <c r="K21" s="196"/>
    </row>
    <row r="22" spans="2:19" ht="24" customHeight="1">
      <c r="B22" s="212" t="s">
        <v>128</v>
      </c>
      <c r="C22" s="212"/>
      <c r="D22" s="212"/>
      <c r="E22" s="212"/>
      <c r="F22" s="212"/>
      <c r="G22" s="212"/>
      <c r="H22" s="212"/>
      <c r="I22" s="212"/>
      <c r="J22" s="154"/>
      <c r="K22" s="4"/>
    </row>
    <row r="23" spans="2:19" ht="17.25" customHeight="1">
      <c r="B23" s="213" t="s">
        <v>129</v>
      </c>
      <c r="C23" s="213"/>
      <c r="D23" s="213"/>
      <c r="E23" s="213"/>
      <c r="F23" s="213"/>
      <c r="G23" s="191"/>
      <c r="H23" s="191"/>
      <c r="I23" s="191"/>
      <c r="J23" s="154"/>
      <c r="K23" s="4"/>
    </row>
    <row r="24" spans="2:19" ht="27.75" customHeight="1">
      <c r="B24" s="5" t="s">
        <v>21</v>
      </c>
      <c r="C24" s="5"/>
      <c r="D24" s="13"/>
      <c r="E24" s="13"/>
      <c r="F24" s="13"/>
      <c r="G24" s="13"/>
      <c r="H24" s="13"/>
      <c r="I24" s="13"/>
      <c r="J24" s="13"/>
      <c r="K24" s="13"/>
      <c r="L24" s="13"/>
      <c r="M24" s="13"/>
      <c r="N24" s="13"/>
      <c r="O24" s="13"/>
      <c r="P24" s="13"/>
      <c r="Q24" s="13"/>
      <c r="R24" s="13"/>
      <c r="S24" s="13"/>
    </row>
    <row r="25" spans="2:19" ht="12" customHeight="1">
      <c r="B25" s="170"/>
      <c r="C25" s="170"/>
      <c r="D25" s="163"/>
      <c r="E25" s="163"/>
      <c r="F25" s="163"/>
      <c r="G25" s="163"/>
      <c r="H25" s="163"/>
      <c r="I25" s="163"/>
      <c r="J25" s="170"/>
      <c r="K25" s="170"/>
      <c r="L25" s="170"/>
      <c r="M25" s="170"/>
      <c r="N25" s="170"/>
      <c r="O25" s="170"/>
      <c r="P25" s="170"/>
      <c r="Q25" s="170"/>
      <c r="R25" s="170"/>
      <c r="S25" s="170"/>
    </row>
    <row r="26" spans="2:19" ht="15" customHeight="1">
      <c r="B26" s="165" t="s">
        <v>22</v>
      </c>
      <c r="C26" s="165"/>
      <c r="D26" s="166" t="s">
        <v>23</v>
      </c>
      <c r="E26" s="166"/>
      <c r="F26" s="167"/>
      <c r="G26" s="163"/>
      <c r="H26" s="168"/>
      <c r="I26" s="168"/>
      <c r="J26" s="169"/>
      <c r="K26" s="170"/>
      <c r="L26" s="165" t="s">
        <v>22</v>
      </c>
      <c r="M26" s="170"/>
      <c r="N26" s="170"/>
      <c r="O26" s="166" t="s">
        <v>24</v>
      </c>
      <c r="P26" s="170"/>
      <c r="Q26" s="170"/>
      <c r="R26" s="170"/>
      <c r="S26" s="170"/>
    </row>
    <row r="27" spans="2:19" ht="19.5" customHeight="1">
      <c r="B27" s="171"/>
      <c r="C27" s="171"/>
      <c r="D27" s="163"/>
      <c r="E27" s="172" t="s">
        <v>25</v>
      </c>
      <c r="F27" s="173"/>
      <c r="G27" s="173"/>
      <c r="H27" s="173"/>
      <c r="I27" s="170"/>
      <c r="J27" s="170"/>
      <c r="K27" s="170"/>
      <c r="L27" s="170"/>
      <c r="M27" s="171"/>
      <c r="N27" s="170"/>
      <c r="O27" s="172" t="s">
        <v>25</v>
      </c>
      <c r="P27" s="173"/>
      <c r="Q27" s="173"/>
      <c r="R27" s="173"/>
      <c r="S27" s="170"/>
    </row>
    <row r="28" spans="2:19" ht="15" customHeight="1">
      <c r="B28" s="171"/>
      <c r="C28" s="174">
        <f>H8</f>
        <v>3199.3706666666667</v>
      </c>
      <c r="D28" s="175">
        <v>450</v>
      </c>
      <c r="E28" s="176">
        <v>500</v>
      </c>
      <c r="F28" s="177">
        <v>550</v>
      </c>
      <c r="G28" s="176">
        <f>F28+50</f>
        <v>600</v>
      </c>
      <c r="H28" s="176">
        <f>G28+50</f>
        <v>650</v>
      </c>
      <c r="I28" s="176">
        <f>H28+50</f>
        <v>700</v>
      </c>
      <c r="J28" s="170"/>
      <c r="K28" s="170"/>
      <c r="L28" s="171"/>
      <c r="M28" s="174">
        <f>I8</f>
        <v>410.17572649572651</v>
      </c>
      <c r="N28" s="175">
        <v>450</v>
      </c>
      <c r="O28" s="176">
        <v>500</v>
      </c>
      <c r="P28" s="177">
        <v>550</v>
      </c>
      <c r="Q28" s="176">
        <f>P28+50</f>
        <v>600</v>
      </c>
      <c r="R28" s="176">
        <f>Q28+50</f>
        <v>650</v>
      </c>
      <c r="S28" s="176">
        <f>R28+50</f>
        <v>700</v>
      </c>
    </row>
    <row r="29" spans="2:19" ht="15" customHeight="1">
      <c r="B29" s="171"/>
      <c r="C29" s="178">
        <v>8</v>
      </c>
      <c r="D29" s="180">
        <f t="dataTable" ref="D29:I36" dt2D="1" dtr="1" r1="C8" r2="D8"/>
        <v>-46.518222222221993</v>
      </c>
      <c r="E29" s="180">
        <v>353.48177777777801</v>
      </c>
      <c r="F29" s="186">
        <v>753.48177777777801</v>
      </c>
      <c r="G29" s="180">
        <v>1153.481777777778</v>
      </c>
      <c r="H29" s="180">
        <v>1553.481777777778</v>
      </c>
      <c r="I29" s="180">
        <v>1953.481777777778</v>
      </c>
      <c r="J29" s="170"/>
      <c r="K29" s="170"/>
      <c r="L29" s="171"/>
      <c r="M29" s="178">
        <v>8</v>
      </c>
      <c r="N29" s="180">
        <f t="dataTable" ref="N29:S36" dt2D="1" dtr="1" r1="C8" r2="D8" ca="1"/>
        <v>-5.9638746438746146</v>
      </c>
      <c r="O29" s="180">
        <v>45.318176638176666</v>
      </c>
      <c r="P29" s="186">
        <v>96.600227920227951</v>
      </c>
      <c r="Q29" s="180">
        <v>147.88227920227922</v>
      </c>
      <c r="R29" s="180">
        <v>199.16433048433052</v>
      </c>
      <c r="S29" s="180">
        <v>250.44638176638179</v>
      </c>
    </row>
    <row r="30" spans="2:19" ht="15" customHeight="1">
      <c r="B30" s="210" t="s">
        <v>26</v>
      </c>
      <c r="C30" s="178">
        <f t="shared" ref="C30:C31" si="0">C31-1</f>
        <v>9</v>
      </c>
      <c r="D30" s="179">
        <v>395.95399999999972</v>
      </c>
      <c r="E30" s="179">
        <v>845.95399999999972</v>
      </c>
      <c r="F30" s="180">
        <v>1295.9539999999997</v>
      </c>
      <c r="G30" s="180">
        <v>1745.9539999999997</v>
      </c>
      <c r="H30" s="179">
        <v>2195.9539999999997</v>
      </c>
      <c r="I30" s="179">
        <v>2645.9539999999997</v>
      </c>
      <c r="J30" s="170"/>
      <c r="K30" s="170"/>
      <c r="L30" s="210" t="s">
        <v>26</v>
      </c>
      <c r="M30" s="178">
        <f t="shared" ref="M30:M31" si="1">M31-1</f>
        <v>9</v>
      </c>
      <c r="N30" s="179">
        <v>50.7633333333333</v>
      </c>
      <c r="O30" s="179">
        <v>108.45564102564099</v>
      </c>
      <c r="P30" s="180">
        <v>166.14794871794868</v>
      </c>
      <c r="Q30" s="180">
        <v>223.84025641025639</v>
      </c>
      <c r="R30" s="179">
        <v>281.53256410256409</v>
      </c>
      <c r="S30" s="179">
        <v>339.22487179487177</v>
      </c>
    </row>
    <row r="31" spans="2:19" ht="15" customHeight="1">
      <c r="B31" s="210"/>
      <c r="C31" s="178">
        <f t="shared" si="0"/>
        <v>10</v>
      </c>
      <c r="D31" s="179">
        <v>838.42622222222235</v>
      </c>
      <c r="E31" s="179">
        <v>1338.4262222222223</v>
      </c>
      <c r="F31" s="179">
        <v>1838.4262222222223</v>
      </c>
      <c r="G31" s="180">
        <v>2338.4262222222223</v>
      </c>
      <c r="H31" s="179">
        <v>2838.4262222222223</v>
      </c>
      <c r="I31" s="179">
        <v>3338.4262222222223</v>
      </c>
      <c r="J31" s="170"/>
      <c r="K31" s="170"/>
      <c r="L31" s="210"/>
      <c r="M31" s="178">
        <f t="shared" si="1"/>
        <v>10</v>
      </c>
      <c r="N31" s="179">
        <v>107.49054131054133</v>
      </c>
      <c r="O31" s="179">
        <v>171.59310541310543</v>
      </c>
      <c r="P31" s="179">
        <v>235.69566951566955</v>
      </c>
      <c r="Q31" s="180">
        <v>299.79823361823367</v>
      </c>
      <c r="R31" s="179">
        <v>363.90079772079775</v>
      </c>
      <c r="S31" s="179">
        <v>428.00336182336184</v>
      </c>
    </row>
    <row r="32" spans="2:19" ht="15" customHeight="1">
      <c r="B32" s="210"/>
      <c r="C32" s="178">
        <f>C33-1</f>
        <v>11</v>
      </c>
      <c r="D32" s="179">
        <v>1280.898444444445</v>
      </c>
      <c r="E32" s="179">
        <v>1830.898444444445</v>
      </c>
      <c r="F32" s="179">
        <v>2380.898444444445</v>
      </c>
      <c r="G32" s="180">
        <v>2930.898444444445</v>
      </c>
      <c r="H32" s="179">
        <v>3480.898444444445</v>
      </c>
      <c r="I32" s="179">
        <v>4030.898444444445</v>
      </c>
      <c r="J32" s="170"/>
      <c r="K32" s="170"/>
      <c r="L32" s="210"/>
      <c r="M32" s="178">
        <f>M33-1</f>
        <v>11</v>
      </c>
      <c r="N32" s="179">
        <v>164.21774928774937</v>
      </c>
      <c r="O32" s="179">
        <v>234.73056980056987</v>
      </c>
      <c r="P32" s="179">
        <v>305.24339031339036</v>
      </c>
      <c r="Q32" s="180">
        <v>375.75621082621092</v>
      </c>
      <c r="R32" s="179">
        <v>446.26903133903141</v>
      </c>
      <c r="S32" s="179">
        <v>516.78185185185191</v>
      </c>
    </row>
    <row r="33" spans="2:19" ht="15" customHeight="1">
      <c r="B33" s="210"/>
      <c r="C33" s="178">
        <v>12</v>
      </c>
      <c r="D33" s="179">
        <v>1723.3706666666667</v>
      </c>
      <c r="E33" s="179">
        <v>2323.3706666666667</v>
      </c>
      <c r="F33" s="179">
        <v>2923.3706666666667</v>
      </c>
      <c r="G33" s="180">
        <v>3523.3706666666667</v>
      </c>
      <c r="H33" s="179">
        <v>4123.3706666666667</v>
      </c>
      <c r="I33" s="179">
        <v>4723.3706666666667</v>
      </c>
      <c r="J33" s="170"/>
      <c r="K33" s="170"/>
      <c r="L33" s="210"/>
      <c r="M33" s="178">
        <v>12</v>
      </c>
      <c r="N33" s="179">
        <v>220.94495726495728</v>
      </c>
      <c r="O33" s="179">
        <v>297.86803418803419</v>
      </c>
      <c r="P33" s="179">
        <v>374.79111111111115</v>
      </c>
      <c r="Q33" s="180">
        <v>451.71418803418806</v>
      </c>
      <c r="R33" s="179">
        <v>528.63726495726496</v>
      </c>
      <c r="S33" s="179">
        <v>605.56034188034187</v>
      </c>
    </row>
    <row r="34" spans="2:19" ht="15" customHeight="1">
      <c r="B34" s="210"/>
      <c r="C34" s="178">
        <f>C33+1</f>
        <v>13</v>
      </c>
      <c r="D34" s="179">
        <v>2165.8428888888884</v>
      </c>
      <c r="E34" s="179">
        <v>2815.8428888888884</v>
      </c>
      <c r="F34" s="179">
        <v>3465.8428888888884</v>
      </c>
      <c r="G34" s="179">
        <v>4115.8428888888884</v>
      </c>
      <c r="H34" s="179">
        <v>4765.8428888888884</v>
      </c>
      <c r="I34" s="179">
        <v>5415.8428888888884</v>
      </c>
      <c r="J34" s="170"/>
      <c r="K34" s="170"/>
      <c r="L34" s="210"/>
      <c r="M34" s="178">
        <f>M33+1</f>
        <v>13</v>
      </c>
      <c r="N34" s="179">
        <v>277.67216524216519</v>
      </c>
      <c r="O34" s="179">
        <v>361.00549857549851</v>
      </c>
      <c r="P34" s="179">
        <v>444.33883190883188</v>
      </c>
      <c r="Q34" s="179">
        <v>527.67216524216519</v>
      </c>
      <c r="R34" s="179">
        <v>611.00549857549856</v>
      </c>
      <c r="S34" s="179">
        <v>694.33883190883182</v>
      </c>
    </row>
    <row r="35" spans="2:19" ht="15" customHeight="1">
      <c r="B35" s="210"/>
      <c r="C35" s="178">
        <f t="shared" ref="C35:C36" si="2">C34+1</f>
        <v>14</v>
      </c>
      <c r="D35" s="179">
        <v>2608.315111111111</v>
      </c>
      <c r="E35" s="179">
        <v>3308.315111111111</v>
      </c>
      <c r="F35" s="179">
        <v>4008.315111111111</v>
      </c>
      <c r="G35" s="179">
        <v>4708.315111111111</v>
      </c>
      <c r="H35" s="179">
        <v>5408.315111111111</v>
      </c>
      <c r="I35" s="179">
        <v>6108.315111111111</v>
      </c>
      <c r="J35" s="170"/>
      <c r="K35" s="170"/>
      <c r="L35" s="210"/>
      <c r="M35" s="178">
        <f t="shared" ref="M35:M36" si="3">M34+1</f>
        <v>14</v>
      </c>
      <c r="N35" s="179">
        <v>334.39937321937322</v>
      </c>
      <c r="O35" s="179">
        <v>424.14296296296294</v>
      </c>
      <c r="P35" s="179">
        <v>513.88655270655272</v>
      </c>
      <c r="Q35" s="179">
        <v>603.63014245014244</v>
      </c>
      <c r="R35" s="179">
        <v>693.37373219373217</v>
      </c>
      <c r="S35" s="179">
        <v>783.11732193732189</v>
      </c>
    </row>
    <row r="36" spans="2:19" ht="15" customHeight="1">
      <c r="B36" s="210"/>
      <c r="C36" s="178">
        <f t="shared" si="2"/>
        <v>15</v>
      </c>
      <c r="D36" s="179">
        <v>3050.7873333333337</v>
      </c>
      <c r="E36" s="179">
        <v>3800.7873333333337</v>
      </c>
      <c r="F36" s="179">
        <v>4550.7873333333337</v>
      </c>
      <c r="G36" s="179">
        <v>5300.7873333333337</v>
      </c>
      <c r="H36" s="179">
        <v>6050.7873333333337</v>
      </c>
      <c r="I36" s="179">
        <v>6800.7873333333337</v>
      </c>
      <c r="J36" s="170"/>
      <c r="K36" s="170"/>
      <c r="L36" s="210"/>
      <c r="M36" s="178">
        <f t="shared" si="3"/>
        <v>15</v>
      </c>
      <c r="N36" s="179">
        <v>391.12658119658124</v>
      </c>
      <c r="O36" s="179">
        <v>487.28042735042743</v>
      </c>
      <c r="P36" s="179">
        <v>583.43427350427351</v>
      </c>
      <c r="Q36" s="179">
        <v>679.58811965811969</v>
      </c>
      <c r="R36" s="179">
        <v>775.74196581196588</v>
      </c>
      <c r="S36" s="179">
        <v>871.89581196581207</v>
      </c>
    </row>
    <row r="37" spans="2:19" ht="15" customHeight="1">
      <c r="B37" s="181"/>
      <c r="C37" s="181"/>
      <c r="D37" s="182"/>
      <c r="E37" s="183"/>
      <c r="F37" s="183"/>
      <c r="G37" s="183"/>
      <c r="H37" s="183"/>
      <c r="I37" s="183"/>
      <c r="J37" s="170"/>
      <c r="K37" s="170"/>
      <c r="L37" s="170"/>
      <c r="M37" s="170"/>
      <c r="N37" s="170"/>
      <c r="O37" s="170"/>
      <c r="P37" s="170"/>
      <c r="Q37" s="170"/>
      <c r="R37" s="170"/>
      <c r="S37" s="170"/>
    </row>
    <row r="38" spans="2:19" ht="27.75" customHeight="1">
      <c r="B38" s="184" t="s">
        <v>27</v>
      </c>
      <c r="C38" s="184"/>
      <c r="D38" s="185"/>
      <c r="E38" s="185"/>
      <c r="F38" s="185"/>
      <c r="G38" s="185"/>
      <c r="H38" s="185"/>
      <c r="I38" s="185"/>
      <c r="J38" s="185"/>
      <c r="K38" s="185"/>
      <c r="L38" s="185"/>
      <c r="M38" s="185"/>
      <c r="N38" s="185"/>
      <c r="O38" s="185"/>
      <c r="P38" s="185"/>
      <c r="Q38" s="185"/>
      <c r="R38" s="185"/>
      <c r="S38" s="185"/>
    </row>
    <row r="39" spans="2:19" ht="12" customHeight="1">
      <c r="B39" s="170"/>
      <c r="C39" s="170"/>
      <c r="D39" s="163"/>
      <c r="E39" s="163"/>
      <c r="F39" s="163"/>
      <c r="G39" s="163"/>
      <c r="H39" s="163"/>
      <c r="I39" s="163"/>
      <c r="J39" s="170"/>
      <c r="K39" s="170"/>
      <c r="L39" s="170"/>
      <c r="M39" s="170"/>
      <c r="N39" s="170"/>
      <c r="O39" s="170"/>
      <c r="P39" s="170"/>
      <c r="Q39" s="170"/>
      <c r="R39" s="170"/>
      <c r="S39" s="170"/>
    </row>
    <row r="40" spans="2:19" ht="15" customHeight="1">
      <c r="B40" s="165" t="s">
        <v>22</v>
      </c>
      <c r="C40" s="165"/>
      <c r="D40" s="166" t="s">
        <v>23</v>
      </c>
      <c r="E40" s="166"/>
      <c r="F40" s="167"/>
      <c r="G40" s="163"/>
      <c r="H40" s="168"/>
      <c r="I40" s="168"/>
      <c r="J40" s="169"/>
      <c r="K40" s="170"/>
      <c r="L40" s="165" t="s">
        <v>22</v>
      </c>
      <c r="M40" s="170"/>
      <c r="N40" s="170"/>
      <c r="O40" s="166" t="s">
        <v>24</v>
      </c>
      <c r="P40" s="170"/>
      <c r="Q40" s="170"/>
      <c r="R40" s="170"/>
      <c r="S40" s="170"/>
    </row>
    <row r="41" spans="2:19" ht="19.5" customHeight="1">
      <c r="B41" s="171"/>
      <c r="C41" s="171"/>
      <c r="D41" s="163"/>
      <c r="E41" s="172" t="s">
        <v>25</v>
      </c>
      <c r="F41" s="173"/>
      <c r="G41" s="173"/>
      <c r="H41" s="173"/>
      <c r="I41" s="170"/>
      <c r="J41" s="170"/>
      <c r="K41" s="170"/>
      <c r="L41" s="170"/>
      <c r="M41" s="171"/>
      <c r="N41" s="170"/>
      <c r="O41" s="172" t="s">
        <v>25</v>
      </c>
      <c r="P41" s="173"/>
      <c r="Q41" s="173"/>
      <c r="R41" s="173"/>
      <c r="S41" s="170"/>
    </row>
    <row r="42" spans="2:19" ht="15" customHeight="1">
      <c r="B42" s="171"/>
      <c r="C42" s="174">
        <f>H10</f>
        <v>2824.4944444444445</v>
      </c>
      <c r="D42" s="175">
        <v>450</v>
      </c>
      <c r="E42" s="176">
        <v>500</v>
      </c>
      <c r="F42" s="177">
        <v>550</v>
      </c>
      <c r="G42" s="176">
        <f>F42+50</f>
        <v>600</v>
      </c>
      <c r="H42" s="176">
        <f>G42+50</f>
        <v>650</v>
      </c>
      <c r="I42" s="176">
        <f>H42+50</f>
        <v>700</v>
      </c>
      <c r="J42" s="170"/>
      <c r="K42" s="170"/>
      <c r="L42" s="171"/>
      <c r="M42" s="174">
        <f>I10</f>
        <v>564.89888888888891</v>
      </c>
      <c r="N42" s="175">
        <v>450</v>
      </c>
      <c r="O42" s="176">
        <v>500</v>
      </c>
      <c r="P42" s="177">
        <v>550</v>
      </c>
      <c r="Q42" s="176">
        <f>P42+50</f>
        <v>600</v>
      </c>
      <c r="R42" s="176">
        <f>Q42+50</f>
        <v>650</v>
      </c>
      <c r="S42" s="176">
        <f>R42+50</f>
        <v>700</v>
      </c>
    </row>
    <row r="43" spans="2:19" ht="15" customHeight="1">
      <c r="B43" s="210" t="s">
        <v>26</v>
      </c>
      <c r="C43" s="178">
        <v>8</v>
      </c>
      <c r="D43" s="180">
        <f t="dataTable" ref="D43:I50" dt2D="1" dtr="1" r1="C10" r2="D10"/>
        <v>144.07777777777756</v>
      </c>
      <c r="E43" s="180">
        <v>544.07777777777756</v>
      </c>
      <c r="F43" s="186">
        <v>944.07777777777756</v>
      </c>
      <c r="G43" s="180">
        <v>1344.0777777777776</v>
      </c>
      <c r="H43" s="180">
        <v>1744.0777777777776</v>
      </c>
      <c r="I43" s="180">
        <v>2144.0777777777776</v>
      </c>
      <c r="J43" s="170"/>
      <c r="K43" s="170"/>
      <c r="L43" s="210" t="s">
        <v>26</v>
      </c>
      <c r="M43" s="178">
        <v>8</v>
      </c>
      <c r="N43" s="180">
        <f t="dataTable" ref="N43:S50" dt2D="1" dtr="1" r1="C10" r2="D10" ca="1"/>
        <v>28.815555555555513</v>
      </c>
      <c r="O43" s="180">
        <v>108.81555555555551</v>
      </c>
      <c r="P43" s="186">
        <v>188.81555555555551</v>
      </c>
      <c r="Q43" s="180">
        <v>268.81555555555553</v>
      </c>
      <c r="R43" s="180">
        <v>348.81555555555553</v>
      </c>
      <c r="S43" s="180">
        <v>428.81555555555553</v>
      </c>
    </row>
    <row r="44" spans="2:19" ht="15" customHeight="1">
      <c r="B44" s="210"/>
      <c r="C44" s="178">
        <f t="shared" ref="C44:C45" si="4">C45-1</f>
        <v>9</v>
      </c>
      <c r="D44" s="179">
        <v>586.54999999999927</v>
      </c>
      <c r="E44" s="179">
        <v>1036.5499999999993</v>
      </c>
      <c r="F44" s="180">
        <v>1486.5499999999993</v>
      </c>
      <c r="G44" s="180">
        <v>1936.5499999999993</v>
      </c>
      <c r="H44" s="179">
        <v>2386.5499999999993</v>
      </c>
      <c r="I44" s="179">
        <v>2836.5499999999993</v>
      </c>
      <c r="J44" s="170"/>
      <c r="K44" s="170"/>
      <c r="L44" s="210"/>
      <c r="M44" s="178">
        <f t="shared" ref="M44:M45" si="5">M45-1</f>
        <v>9</v>
      </c>
      <c r="N44" s="179">
        <v>117.30999999999986</v>
      </c>
      <c r="O44" s="179">
        <v>207.30999999999986</v>
      </c>
      <c r="P44" s="180">
        <v>297.30999999999983</v>
      </c>
      <c r="Q44" s="180">
        <v>387.30999999999983</v>
      </c>
      <c r="R44" s="179">
        <v>477.30999999999983</v>
      </c>
      <c r="S44" s="179">
        <v>567.30999999999983</v>
      </c>
    </row>
    <row r="45" spans="2:19" ht="15" customHeight="1">
      <c r="B45" s="210"/>
      <c r="C45" s="178">
        <f t="shared" si="4"/>
        <v>10</v>
      </c>
      <c r="D45" s="179">
        <v>1029.0222222222219</v>
      </c>
      <c r="E45" s="179">
        <v>1529.0222222222219</v>
      </c>
      <c r="F45" s="179">
        <v>2029.0222222222219</v>
      </c>
      <c r="G45" s="180">
        <v>2529.0222222222219</v>
      </c>
      <c r="H45" s="179">
        <v>3029.0222222222219</v>
      </c>
      <c r="I45" s="179">
        <v>3529.0222222222219</v>
      </c>
      <c r="J45" s="170"/>
      <c r="K45" s="170"/>
      <c r="L45" s="210"/>
      <c r="M45" s="178">
        <f t="shared" si="5"/>
        <v>10</v>
      </c>
      <c r="N45" s="179">
        <v>205.80444444444439</v>
      </c>
      <c r="O45" s="179">
        <v>305.80444444444436</v>
      </c>
      <c r="P45" s="179">
        <v>405.80444444444436</v>
      </c>
      <c r="Q45" s="180">
        <v>505.80444444444436</v>
      </c>
      <c r="R45" s="179">
        <v>605.80444444444436</v>
      </c>
      <c r="S45" s="179">
        <v>705.80444444444436</v>
      </c>
    </row>
    <row r="46" spans="2:19" ht="15" customHeight="1">
      <c r="B46" s="210"/>
      <c r="C46" s="178">
        <f>C47-1</f>
        <v>11</v>
      </c>
      <c r="D46" s="179">
        <v>1471.4944444444445</v>
      </c>
      <c r="E46" s="179">
        <v>2021.4944444444445</v>
      </c>
      <c r="F46" s="179">
        <v>2571.4944444444445</v>
      </c>
      <c r="G46" s="180">
        <v>3121.4944444444445</v>
      </c>
      <c r="H46" s="179">
        <v>3671.4944444444445</v>
      </c>
      <c r="I46" s="179">
        <v>4221.4944444444445</v>
      </c>
      <c r="J46" s="170"/>
      <c r="K46" s="170"/>
      <c r="L46" s="210"/>
      <c r="M46" s="178">
        <f>M47-1</f>
        <v>11</v>
      </c>
      <c r="N46" s="179">
        <v>294.29888888888888</v>
      </c>
      <c r="O46" s="179">
        <v>404.29888888888888</v>
      </c>
      <c r="P46" s="179">
        <v>514.29888888888888</v>
      </c>
      <c r="Q46" s="180">
        <v>624.29888888888888</v>
      </c>
      <c r="R46" s="179">
        <v>734.29888888888888</v>
      </c>
      <c r="S46" s="179">
        <v>844.29888888888888</v>
      </c>
    </row>
    <row r="47" spans="2:19" ht="15" customHeight="1">
      <c r="B47" s="210"/>
      <c r="C47" s="178">
        <v>12</v>
      </c>
      <c r="D47" s="179">
        <v>1913.9666666666662</v>
      </c>
      <c r="E47" s="179">
        <v>2513.9666666666662</v>
      </c>
      <c r="F47" s="179">
        <v>3113.9666666666662</v>
      </c>
      <c r="G47" s="180">
        <v>3713.9666666666662</v>
      </c>
      <c r="H47" s="179">
        <v>4313.9666666666662</v>
      </c>
      <c r="I47" s="179">
        <v>4913.9666666666662</v>
      </c>
      <c r="J47" s="170"/>
      <c r="K47" s="170"/>
      <c r="L47" s="210"/>
      <c r="M47" s="178">
        <v>12</v>
      </c>
      <c r="N47" s="179">
        <v>382.79333333333324</v>
      </c>
      <c r="O47" s="179">
        <v>502.79333333333324</v>
      </c>
      <c r="P47" s="179">
        <v>622.79333333333329</v>
      </c>
      <c r="Q47" s="180">
        <v>742.79333333333329</v>
      </c>
      <c r="R47" s="179">
        <v>862.79333333333329</v>
      </c>
      <c r="S47" s="179">
        <v>982.79333333333329</v>
      </c>
    </row>
    <row r="48" spans="2:19" ht="15" customHeight="1">
      <c r="B48" s="210"/>
      <c r="C48" s="178">
        <f>C47+1</f>
        <v>13</v>
      </c>
      <c r="D48" s="179">
        <v>2356.438888888888</v>
      </c>
      <c r="E48" s="179">
        <v>3006.438888888888</v>
      </c>
      <c r="F48" s="179">
        <v>3656.438888888888</v>
      </c>
      <c r="G48" s="179">
        <v>4306.438888888888</v>
      </c>
      <c r="H48" s="179">
        <v>4956.438888888888</v>
      </c>
      <c r="I48" s="179">
        <v>5606.438888888888</v>
      </c>
      <c r="J48" s="170"/>
      <c r="K48" s="170"/>
      <c r="L48" s="210"/>
      <c r="M48" s="178">
        <f>M47+1</f>
        <v>13</v>
      </c>
      <c r="N48" s="179">
        <v>471.28777777777759</v>
      </c>
      <c r="O48" s="179">
        <v>601.28777777777759</v>
      </c>
      <c r="P48" s="179">
        <v>731.28777777777759</v>
      </c>
      <c r="Q48" s="179">
        <v>861.28777777777759</v>
      </c>
      <c r="R48" s="179">
        <v>991.28777777777759</v>
      </c>
      <c r="S48" s="179">
        <v>1121.2877777777776</v>
      </c>
    </row>
    <row r="49" spans="2:19" ht="15" customHeight="1">
      <c r="B49" s="210"/>
      <c r="C49" s="178">
        <f t="shared" ref="C49:C50" si="6">C48+1</f>
        <v>14</v>
      </c>
      <c r="D49" s="179">
        <v>2798.9111111111106</v>
      </c>
      <c r="E49" s="179">
        <v>3498.9111111111106</v>
      </c>
      <c r="F49" s="179">
        <v>4198.9111111111106</v>
      </c>
      <c r="G49" s="179">
        <v>4898.9111111111106</v>
      </c>
      <c r="H49" s="179">
        <v>5598.9111111111106</v>
      </c>
      <c r="I49" s="179">
        <v>6298.9111111111106</v>
      </c>
      <c r="J49" s="170"/>
      <c r="K49" s="170"/>
      <c r="L49" s="210"/>
      <c r="M49" s="178">
        <f t="shared" ref="M49:M50" si="7">M48+1</f>
        <v>14</v>
      </c>
      <c r="N49" s="179">
        <v>559.78222222222212</v>
      </c>
      <c r="O49" s="179">
        <v>699.78222222222212</v>
      </c>
      <c r="P49" s="179">
        <v>839.78222222222212</v>
      </c>
      <c r="Q49" s="179">
        <v>979.78222222222212</v>
      </c>
      <c r="R49" s="179">
        <v>1119.7822222222221</v>
      </c>
      <c r="S49" s="179">
        <v>1259.7822222222221</v>
      </c>
    </row>
    <row r="50" spans="2:19" ht="15" customHeight="1">
      <c r="B50" s="181"/>
      <c r="C50" s="178">
        <f t="shared" si="6"/>
        <v>15</v>
      </c>
      <c r="D50" s="179">
        <v>3241.3833333333332</v>
      </c>
      <c r="E50" s="179">
        <v>3991.3833333333332</v>
      </c>
      <c r="F50" s="179">
        <v>4741.3833333333332</v>
      </c>
      <c r="G50" s="179">
        <v>5491.3833333333332</v>
      </c>
      <c r="H50" s="179">
        <v>6241.3833333333332</v>
      </c>
      <c r="I50" s="179">
        <v>6991.3833333333332</v>
      </c>
      <c r="J50" s="170"/>
      <c r="K50" s="170"/>
      <c r="L50" s="170"/>
      <c r="M50" s="178">
        <f t="shared" si="7"/>
        <v>15</v>
      </c>
      <c r="N50" s="179">
        <v>648.27666666666664</v>
      </c>
      <c r="O50" s="179">
        <v>798.27666666666664</v>
      </c>
      <c r="P50" s="179">
        <v>948.27666666666664</v>
      </c>
      <c r="Q50" s="179">
        <v>1098.2766666666666</v>
      </c>
      <c r="R50" s="179">
        <v>1248.2766666666666</v>
      </c>
      <c r="S50" s="179">
        <v>1398.2766666666666</v>
      </c>
    </row>
    <row r="51" spans="2:19" ht="15" customHeight="1">
      <c r="B51" s="170"/>
      <c r="C51" s="170"/>
      <c r="D51" s="163"/>
      <c r="E51" s="167"/>
      <c r="F51" s="163"/>
      <c r="G51" s="183"/>
      <c r="H51" s="183"/>
      <c r="I51" s="183"/>
      <c r="J51" s="170"/>
      <c r="K51" s="170"/>
      <c r="L51" s="170"/>
      <c r="M51" s="170"/>
      <c r="N51" s="170"/>
      <c r="O51" s="170"/>
      <c r="P51" s="170"/>
      <c r="Q51" s="170"/>
      <c r="R51" s="170"/>
      <c r="S51" s="170"/>
    </row>
    <row r="52" spans="2:19" ht="15" customHeight="1">
      <c r="B52" s="170"/>
      <c r="C52" s="170"/>
      <c r="D52" s="170"/>
      <c r="E52" s="170"/>
      <c r="F52" s="170"/>
      <c r="G52" s="170"/>
      <c r="H52" s="170"/>
      <c r="I52" s="170"/>
      <c r="J52" s="170"/>
      <c r="K52" s="170"/>
      <c r="L52" s="170"/>
      <c r="M52" s="170"/>
      <c r="N52" s="170"/>
      <c r="O52" s="170"/>
      <c r="P52" s="170"/>
      <c r="Q52" s="170"/>
      <c r="R52" s="170"/>
      <c r="S52" s="170"/>
    </row>
    <row r="53" spans="2:19" ht="15" customHeight="1">
      <c r="D53" s="1"/>
      <c r="E53" s="1"/>
      <c r="F53" s="1"/>
      <c r="G53" s="1"/>
      <c r="H53" s="1"/>
      <c r="I53" s="1"/>
    </row>
    <row r="54" spans="2:19" ht="15" customHeight="1">
      <c r="D54" s="1"/>
      <c r="E54" s="1"/>
      <c r="F54" s="1"/>
      <c r="G54" s="1"/>
      <c r="H54" s="1"/>
      <c r="I54" s="1"/>
    </row>
    <row r="55" spans="2:19" ht="15" customHeight="1">
      <c r="D55" s="1"/>
      <c r="E55" s="1"/>
      <c r="F55" s="1"/>
      <c r="G55" s="1"/>
      <c r="H55" s="1"/>
      <c r="I55" s="1"/>
    </row>
    <row r="56" spans="2:19" ht="15" customHeight="1">
      <c r="D56" s="1"/>
      <c r="E56" s="1"/>
      <c r="F56" s="1"/>
      <c r="G56" s="1"/>
      <c r="H56" s="1"/>
      <c r="I56" s="1"/>
    </row>
    <row r="57" spans="2:19" ht="15" customHeight="1">
      <c r="D57" s="1"/>
      <c r="E57" s="1"/>
      <c r="F57" s="1"/>
      <c r="G57" s="1"/>
      <c r="H57" s="1"/>
      <c r="I57" s="1"/>
    </row>
    <row r="58" spans="2:19" ht="15" customHeight="1">
      <c r="D58" s="1"/>
      <c r="E58" s="1"/>
      <c r="F58" s="1"/>
      <c r="G58" s="1"/>
      <c r="H58" s="1"/>
      <c r="I58" s="1"/>
    </row>
    <row r="59" spans="2:19" ht="15" customHeight="1">
      <c r="D59" s="1"/>
      <c r="E59" s="1"/>
      <c r="F59" s="1"/>
      <c r="G59" s="1"/>
      <c r="H59" s="1"/>
      <c r="I59" s="1"/>
    </row>
    <row r="60" spans="2:19" ht="15" customHeight="1">
      <c r="D60" s="1"/>
      <c r="E60" s="1"/>
      <c r="F60" s="1"/>
      <c r="G60" s="1"/>
      <c r="H60" s="1"/>
      <c r="I60" s="1"/>
    </row>
    <row r="62" spans="2:19" ht="15" customHeight="1">
      <c r="B62" s="208" t="s">
        <v>120</v>
      </c>
      <c r="C62" s="208"/>
      <c r="D62" s="208"/>
      <c r="E62" s="208"/>
      <c r="F62" s="198" t="s">
        <v>10</v>
      </c>
      <c r="G62" s="198" t="s">
        <v>12</v>
      </c>
      <c r="H62" s="198"/>
    </row>
    <row r="63" spans="2:19" ht="15" customHeight="1">
      <c r="B63" s="199"/>
      <c r="C63" s="199"/>
      <c r="D63" s="198"/>
      <c r="E63" s="198"/>
      <c r="F63" s="200" t="s">
        <v>121</v>
      </c>
      <c r="G63" s="200" t="s">
        <v>121</v>
      </c>
      <c r="H63" s="198"/>
    </row>
    <row r="64" spans="2:19" ht="15" customHeight="1">
      <c r="B64" s="199"/>
      <c r="C64" s="201"/>
      <c r="D64" s="202" t="s">
        <v>117</v>
      </c>
      <c r="E64" s="202"/>
      <c r="F64" s="203">
        <f>'Cotton#1'!E129</f>
        <v>0</v>
      </c>
      <c r="G64" s="204">
        <f>'Cotton#2'!E131</f>
        <v>0</v>
      </c>
      <c r="H64" s="198"/>
    </row>
    <row r="65" spans="2:8" ht="15" customHeight="1">
      <c r="B65" s="199"/>
      <c r="C65" s="201"/>
      <c r="D65" s="202" t="s">
        <v>107</v>
      </c>
      <c r="E65" s="202"/>
      <c r="F65" s="203">
        <f>'Cotton#1'!E130</f>
        <v>1355.3333333333335</v>
      </c>
      <c r="G65" s="204">
        <f>'Cotton#2'!E132</f>
        <v>1264.8055555555557</v>
      </c>
      <c r="H65" s="198"/>
    </row>
    <row r="66" spans="2:8" ht="15" customHeight="1">
      <c r="B66" s="199"/>
      <c r="C66" s="201"/>
      <c r="D66" s="202" t="s">
        <v>122</v>
      </c>
      <c r="E66" s="202"/>
      <c r="F66" s="203">
        <f>'Cotton#1'!E131</f>
        <v>402.1</v>
      </c>
      <c r="G66" s="204">
        <f>'Cotton#2'!E133</f>
        <v>400.1</v>
      </c>
      <c r="H66" s="198"/>
    </row>
    <row r="67" spans="2:8" ht="15" customHeight="1">
      <c r="B67" s="199"/>
      <c r="C67" s="201"/>
      <c r="D67" s="202" t="s">
        <v>123</v>
      </c>
      <c r="E67" s="202"/>
      <c r="F67" s="203">
        <f>'Cotton#1'!E132</f>
        <v>405</v>
      </c>
      <c r="G67" s="204">
        <f>'Cotton#2'!E134</f>
        <v>405</v>
      </c>
      <c r="H67" s="198"/>
    </row>
    <row r="68" spans="2:8" ht="15" customHeight="1">
      <c r="B68" s="199"/>
      <c r="C68" s="201"/>
      <c r="D68" s="202" t="s">
        <v>97</v>
      </c>
      <c r="E68" s="202"/>
      <c r="F68" s="203">
        <f>'Cotton#1'!E133</f>
        <v>530.94599999999991</v>
      </c>
      <c r="G68" s="204">
        <f>'Cotton#2'!E135</f>
        <v>340.34999999999997</v>
      </c>
      <c r="H68" s="198"/>
    </row>
    <row r="69" spans="2:8" ht="15" customHeight="1">
      <c r="B69" s="199"/>
      <c r="C69" s="201"/>
      <c r="D69" s="202" t="s">
        <v>124</v>
      </c>
      <c r="E69" s="202"/>
      <c r="F69" s="203">
        <f>'Cotton#1'!E134</f>
        <v>140.07999999999998</v>
      </c>
      <c r="G69" s="204">
        <f>'Cotton#2'!E136</f>
        <v>140.07999999999998</v>
      </c>
      <c r="H69" s="198"/>
    </row>
    <row r="70" spans="2:8" ht="15" customHeight="1">
      <c r="B70" s="199"/>
      <c r="C70" s="201"/>
      <c r="D70" s="202" t="s">
        <v>125</v>
      </c>
      <c r="E70" s="202"/>
      <c r="F70" s="203">
        <f>'Cotton#1'!E135</f>
        <v>200.78</v>
      </c>
      <c r="G70" s="204">
        <f>'Cotton#2'!E137</f>
        <v>200.78</v>
      </c>
      <c r="H70" s="198"/>
    </row>
    <row r="71" spans="2:8" ht="15" customHeight="1">
      <c r="B71" s="199"/>
      <c r="C71" s="201"/>
      <c r="D71" s="202" t="s">
        <v>126</v>
      </c>
      <c r="E71" s="202"/>
      <c r="F71" s="203">
        <f>'Cotton#1'!E136</f>
        <v>315.69</v>
      </c>
      <c r="G71" s="204">
        <f>'Cotton#2'!E138</f>
        <v>133.72</v>
      </c>
      <c r="H71" s="198"/>
    </row>
    <row r="72" spans="2:8" ht="15" customHeight="1">
      <c r="B72" s="199"/>
      <c r="C72" s="201"/>
      <c r="D72" s="202" t="s">
        <v>64</v>
      </c>
      <c r="E72" s="202"/>
      <c r="F72" s="203">
        <f>'Cotton#1'!E137</f>
        <v>985.90000000000009</v>
      </c>
      <c r="G72" s="204">
        <f>'Cotton#2'!E139</f>
        <v>985.90000000000009</v>
      </c>
      <c r="H72" s="198"/>
    </row>
    <row r="73" spans="2:8" ht="15" customHeight="1">
      <c r="B73" s="199"/>
      <c r="C73" s="201"/>
      <c r="D73" s="202" t="s">
        <v>58</v>
      </c>
      <c r="E73" s="202"/>
      <c r="F73" s="203">
        <f>'Cotton#1'!E138</f>
        <v>144</v>
      </c>
      <c r="G73" s="204">
        <f>'Cotton#2'!E140</f>
        <v>144</v>
      </c>
      <c r="H73" s="198"/>
    </row>
    <row r="74" spans="2:8" ht="15" customHeight="1">
      <c r="B74" s="199"/>
      <c r="C74" s="201"/>
      <c r="D74" s="202" t="s">
        <v>127</v>
      </c>
      <c r="E74" s="202"/>
      <c r="F74" s="203">
        <f>'Cotton#1'!E139</f>
        <v>216.8</v>
      </c>
      <c r="G74" s="204">
        <f>'Cotton#2'!E141</f>
        <v>216.8</v>
      </c>
      <c r="H74" s="198"/>
    </row>
  </sheetData>
  <sheetProtection sheet="1" objects="1" scenarios="1"/>
  <protectedRanges>
    <protectedRange sqref="C8:E8 C9:H9 C10:E10 C11:H11 H19" name="Range1"/>
  </protectedRanges>
  <mergeCells count="11">
    <mergeCell ref="B62:E62"/>
    <mergeCell ref="R5:S5"/>
    <mergeCell ref="L30:L36"/>
    <mergeCell ref="B43:B49"/>
    <mergeCell ref="L43:L49"/>
    <mergeCell ref="B30:B36"/>
    <mergeCell ref="C9:H9"/>
    <mergeCell ref="C11:H11"/>
    <mergeCell ref="B22:I22"/>
    <mergeCell ref="B23:F23"/>
    <mergeCell ref="B15:H15"/>
  </mergeCells>
  <dataValidations count="6">
    <dataValidation allowBlank="1" showInputMessage="1" showErrorMessage="1" prompt="Enter your Projected and Actual Income on cells:_x000a_C14, D14, C15, D15, C16, &amp; D16" sqref="B13:C13 B24:C24 B38:C38" xr:uid="{00000000-0002-0000-0000-000003000000}"/>
    <dataValidation allowBlank="1" showInputMessage="1" showErrorMessage="1" prompt="This section is automatically calculated from your Income Summary and Monthly Expenses input" sqref="B6:C6" xr:uid="{00000000-0002-0000-0000-000005000000}"/>
    <dataValidation allowBlank="1" showInputMessage="1" showErrorMessage="1" prompt="To update this chart: go to Data ribbon, click Refresh All" sqref="L6" xr:uid="{00000000-0002-0000-0000-000006000000}"/>
    <dataValidation allowBlank="1" showInputMessage="1" showErrorMessage="1" prompt="Enter your projected income in this cell" sqref="D16:E21 H19" xr:uid="{00000000-0002-0000-0000-000001000000}"/>
    <dataValidation allowBlank="1" showInputMessage="1" showErrorMessage="1" prompt="Difference is auto calculated in this cell" sqref="G16:I21" xr:uid="{00000000-0002-0000-0000-000004000000}"/>
    <dataValidation allowBlank="1" showInputMessage="1" showErrorMessage="1" prompt="Enter you actual income in this cell" sqref="F16:F21" xr:uid="{00000000-0002-0000-0000-000002000000}"/>
  </dataValidations>
  <hyperlinks>
    <hyperlink ref="H19" r:id="rId1" xr:uid="{37A53240-2728-42B5-8AC4-48C5FAD976E2}"/>
  </hyperlinks>
  <pageMargins left="0.25" right="0.25" top="0.75" bottom="0.75" header="0.3" footer="0.3"/>
  <pageSetup scale="4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FC09B-D598-4A43-B5A3-42AEB03F569F}">
  <dimension ref="A1:AS182"/>
  <sheetViews>
    <sheetView topLeftCell="A75" workbookViewId="0">
      <selection activeCell="M96" sqref="M96"/>
    </sheetView>
  </sheetViews>
  <sheetFormatPr defaultRowHeight="16.5"/>
  <cols>
    <col min="1" max="1" width="1.625" customWidth="1"/>
    <col min="2" max="2" width="10" customWidth="1"/>
    <col min="3" max="3" width="7.625" customWidth="1"/>
    <col min="4" max="4" width="48.75" customWidth="1"/>
    <col min="5" max="5" width="11" customWidth="1"/>
    <col min="6" max="6" width="13.25" customWidth="1"/>
    <col min="7" max="7" width="10.625" customWidth="1"/>
  </cols>
  <sheetData>
    <row r="1" spans="1:45" s="23" customFormat="1" ht="8.25" customHeight="1"/>
    <row r="2" spans="1:45" s="21" customFormat="1" ht="15" customHeight="1">
      <c r="A2" s="22"/>
      <c r="B2" s="61"/>
      <c r="C2" s="62"/>
      <c r="D2" s="219" t="s">
        <v>28</v>
      </c>
      <c r="E2" s="219"/>
      <c r="F2" s="219"/>
      <c r="G2" s="219"/>
      <c r="H2" s="219"/>
      <c r="I2" s="219"/>
      <c r="J2" s="63"/>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row>
    <row r="3" spans="1:45" s="21" customFormat="1" ht="21" customHeight="1">
      <c r="A3" s="22"/>
      <c r="B3" s="64"/>
      <c r="C3" s="57"/>
      <c r="D3" s="220"/>
      <c r="E3" s="220"/>
      <c r="F3" s="220"/>
      <c r="G3" s="220"/>
      <c r="H3" s="220"/>
      <c r="I3" s="220"/>
      <c r="J3" s="65"/>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row>
    <row r="4" spans="1:45" s="21" customFormat="1" ht="10.15" customHeight="1">
      <c r="A4" s="22"/>
      <c r="B4" s="64"/>
      <c r="C4" s="57"/>
      <c r="D4" s="57"/>
      <c r="E4" s="57"/>
      <c r="F4" s="218" t="s">
        <v>29</v>
      </c>
      <c r="G4" s="218"/>
      <c r="H4" s="218"/>
      <c r="I4" s="58"/>
      <c r="J4" s="65"/>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row>
    <row r="5" spans="1:45" s="21" customFormat="1" ht="15" customHeight="1">
      <c r="A5" s="22"/>
      <c r="B5" s="66"/>
      <c r="C5" s="59"/>
      <c r="D5" s="59"/>
      <c r="E5" s="60"/>
      <c r="F5" s="218"/>
      <c r="G5" s="218"/>
      <c r="H5" s="218"/>
      <c r="I5" s="58"/>
      <c r="J5" s="65"/>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5" s="21" customFormat="1" ht="14.25" customHeight="1">
      <c r="A6" s="22"/>
      <c r="B6" s="215" t="s">
        <v>30</v>
      </c>
      <c r="C6" s="216"/>
      <c r="D6" s="216"/>
      <c r="E6" s="216"/>
      <c r="F6" s="216"/>
      <c r="G6" s="216"/>
      <c r="H6" s="216"/>
      <c r="I6" s="216"/>
      <c r="J6" s="217"/>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row>
    <row r="7" spans="1:45" s="21" customFormat="1" ht="14.25" customHeight="1">
      <c r="A7" s="22"/>
      <c r="B7" s="215"/>
      <c r="C7" s="216"/>
      <c r="D7" s="216"/>
      <c r="E7" s="216"/>
      <c r="F7" s="216"/>
      <c r="G7" s="216"/>
      <c r="H7" s="216"/>
      <c r="I7" s="216"/>
      <c r="J7" s="217"/>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row>
    <row r="8" spans="1:45" s="21" customFormat="1" ht="14.25" customHeight="1">
      <c r="A8" s="22"/>
      <c r="B8" s="67"/>
      <c r="C8" s="70"/>
      <c r="D8" s="205"/>
      <c r="E8" s="70"/>
      <c r="F8" s="70"/>
      <c r="G8" s="70"/>
      <c r="H8" s="70"/>
      <c r="I8" s="70"/>
      <c r="J8" s="69" t="str">
        <f>'Gross Margin Comparison'!S3</f>
        <v>Last updated October 2025</v>
      </c>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row>
    <row r="9" spans="1:45" s="22" customFormat="1" ht="15.75" customHeight="1">
      <c r="B9" s="25"/>
      <c r="C9" s="25"/>
      <c r="D9" s="25"/>
      <c r="E9" s="25"/>
      <c r="F9" s="25"/>
      <c r="G9" s="26"/>
      <c r="I9" s="71"/>
      <c r="J9" s="72" t="s">
        <v>32</v>
      </c>
      <c r="K9" s="27"/>
    </row>
    <row r="10" spans="1:45" s="23" customFormat="1" ht="18.75">
      <c r="B10" s="50" t="s">
        <v>33</v>
      </c>
      <c r="F10" s="30"/>
      <c r="G10" s="31"/>
      <c r="H10" s="31"/>
      <c r="I10" s="30"/>
      <c r="J10" s="31" t="s">
        <v>34</v>
      </c>
    </row>
    <row r="11" spans="1:45" s="23" customFormat="1">
      <c r="D11" s="54" t="s">
        <v>35</v>
      </c>
      <c r="E11" s="145">
        <f>cotton.yield</f>
        <v>12</v>
      </c>
      <c r="F11" s="116" t="s">
        <v>36</v>
      </c>
      <c r="G11" s="148">
        <f>'Gross Margin Comparison'!C8</f>
        <v>573</v>
      </c>
      <c r="H11" s="149" t="s">
        <v>37</v>
      </c>
      <c r="I11" s="31"/>
      <c r="J11" s="51">
        <f>E11*G11</f>
        <v>6876</v>
      </c>
    </row>
    <row r="12" spans="1:45" s="23" customFormat="1">
      <c r="D12" s="54" t="s">
        <v>38</v>
      </c>
      <c r="E12" s="40"/>
      <c r="F12" s="116" t="s">
        <v>39</v>
      </c>
      <c r="G12" s="55">
        <v>93</v>
      </c>
      <c r="H12" s="150" t="s">
        <v>37</v>
      </c>
      <c r="I12" s="32"/>
      <c r="J12" s="51">
        <f>G12*E11</f>
        <v>1116</v>
      </c>
    </row>
    <row r="13" spans="1:45" s="23" customFormat="1">
      <c r="D13" s="54"/>
      <c r="E13" s="40"/>
      <c r="F13" s="116" t="s">
        <v>40</v>
      </c>
      <c r="G13" s="55">
        <v>-8</v>
      </c>
      <c r="H13" s="150" t="s">
        <v>37</v>
      </c>
      <c r="I13" s="32"/>
      <c r="J13" s="52">
        <f>G13*E11</f>
        <v>-96</v>
      </c>
    </row>
    <row r="14" spans="1:45" s="23" customFormat="1">
      <c r="E14" s="32"/>
      <c r="F14" s="32"/>
      <c r="G14" s="142">
        <f>SUM(G11:G13)</f>
        <v>658</v>
      </c>
      <c r="H14" s="141"/>
      <c r="I14" s="143" t="s">
        <v>41</v>
      </c>
      <c r="J14" s="53">
        <f>SUM(J11:J13)</f>
        <v>7896</v>
      </c>
    </row>
    <row r="15" spans="1:45" s="23" customFormat="1" ht="19.5" thickBot="1">
      <c r="B15" s="50" t="s">
        <v>42</v>
      </c>
      <c r="E15" s="32"/>
      <c r="F15" s="32"/>
      <c r="G15" s="114">
        <f>SUM(G11:G12)</f>
        <v>666</v>
      </c>
      <c r="H15" s="32"/>
      <c r="I15" s="32"/>
      <c r="J15" s="32"/>
    </row>
    <row r="16" spans="1:45" s="23" customFormat="1">
      <c r="B16" s="77" t="s">
        <v>43</v>
      </c>
      <c r="C16" s="78"/>
      <c r="D16" s="78"/>
      <c r="E16" s="97" t="s">
        <v>44</v>
      </c>
      <c r="F16" s="97" t="s">
        <v>45</v>
      </c>
      <c r="G16" s="80"/>
      <c r="H16" s="80"/>
      <c r="I16" s="97" t="s">
        <v>46</v>
      </c>
      <c r="J16" s="102" t="s">
        <v>34</v>
      </c>
    </row>
    <row r="17" spans="2:10" s="23" customFormat="1">
      <c r="B17" s="83"/>
      <c r="C17" s="29"/>
      <c r="D17" s="73" t="s">
        <v>47</v>
      </c>
      <c r="E17" s="41">
        <v>0</v>
      </c>
      <c r="F17" s="42">
        <v>20</v>
      </c>
      <c r="G17" s="32"/>
      <c r="H17" s="32"/>
      <c r="I17" s="24">
        <f t="shared" ref="I17:I29" si="0">(J17/cotton.yield)</f>
        <v>0</v>
      </c>
      <c r="J17" s="84">
        <f>E17*F17</f>
        <v>0</v>
      </c>
    </row>
    <row r="18" spans="2:10" s="23" customFormat="1">
      <c r="B18" s="103"/>
      <c r="C18" s="29"/>
      <c r="D18" s="73" t="s">
        <v>48</v>
      </c>
      <c r="E18" s="41">
        <v>1</v>
      </c>
      <c r="F18" s="42">
        <v>27</v>
      </c>
      <c r="G18" s="32"/>
      <c r="H18" s="32"/>
      <c r="I18" s="24">
        <f t="shared" si="0"/>
        <v>2.25</v>
      </c>
      <c r="J18" s="84">
        <f t="shared" ref="J18:J29" si="1">E18*F18</f>
        <v>27</v>
      </c>
    </row>
    <row r="19" spans="2:10" s="23" customFormat="1">
      <c r="B19" s="103"/>
      <c r="C19" s="29"/>
      <c r="D19" s="73" t="s">
        <v>49</v>
      </c>
      <c r="E19" s="41">
        <v>1</v>
      </c>
      <c r="F19" s="42">
        <v>17</v>
      </c>
      <c r="G19" s="32"/>
      <c r="H19" s="32"/>
      <c r="I19" s="24">
        <f t="shared" si="0"/>
        <v>1.4166666666666667</v>
      </c>
      <c r="J19" s="84">
        <f t="shared" si="1"/>
        <v>17</v>
      </c>
    </row>
    <row r="20" spans="2:10" s="23" customFormat="1">
      <c r="B20" s="103"/>
      <c r="C20" s="29"/>
      <c r="D20" s="73" t="s">
        <v>143</v>
      </c>
      <c r="E20" s="41">
        <v>1</v>
      </c>
      <c r="F20" s="42">
        <v>15</v>
      </c>
      <c r="G20" s="32"/>
      <c r="H20" s="32"/>
      <c r="I20" s="24">
        <f t="shared" si="0"/>
        <v>1.25</v>
      </c>
      <c r="J20" s="84">
        <f t="shared" si="1"/>
        <v>15</v>
      </c>
    </row>
    <row r="21" spans="2:10" s="23" customFormat="1">
      <c r="B21" s="103"/>
      <c r="C21" s="29"/>
      <c r="D21" s="73" t="s">
        <v>50</v>
      </c>
      <c r="E21" s="41">
        <v>1</v>
      </c>
      <c r="F21" s="42">
        <v>6</v>
      </c>
      <c r="G21" s="32"/>
      <c r="H21" s="32"/>
      <c r="I21" s="24">
        <f t="shared" si="0"/>
        <v>0.5</v>
      </c>
      <c r="J21" s="84">
        <f t="shared" si="1"/>
        <v>6</v>
      </c>
    </row>
    <row r="22" spans="2:10" s="23" customFormat="1">
      <c r="B22" s="83"/>
      <c r="D22" s="73" t="s">
        <v>51</v>
      </c>
      <c r="E22" s="41">
        <v>1</v>
      </c>
      <c r="F22" s="42">
        <v>15</v>
      </c>
      <c r="G22" s="32"/>
      <c r="H22" s="32"/>
      <c r="I22" s="24">
        <f t="shared" si="0"/>
        <v>1.25</v>
      </c>
      <c r="J22" s="84">
        <f t="shared" si="1"/>
        <v>15</v>
      </c>
    </row>
    <row r="23" spans="2:10" s="23" customFormat="1">
      <c r="B23" s="83"/>
      <c r="D23" s="73" t="s">
        <v>54</v>
      </c>
      <c r="E23" s="41">
        <v>1</v>
      </c>
      <c r="F23" s="42">
        <v>18</v>
      </c>
      <c r="G23" s="32"/>
      <c r="H23" s="32"/>
      <c r="I23" s="24">
        <f>(J23/cotton.yield)</f>
        <v>1.5</v>
      </c>
      <c r="J23" s="84">
        <f>E23*F23</f>
        <v>18</v>
      </c>
    </row>
    <row r="24" spans="2:10" s="23" customFormat="1">
      <c r="B24" s="83"/>
      <c r="D24" s="73" t="s">
        <v>52</v>
      </c>
      <c r="E24" s="41">
        <v>1</v>
      </c>
      <c r="F24" s="42">
        <v>24</v>
      </c>
      <c r="G24" s="32"/>
      <c r="H24" s="32"/>
      <c r="I24" s="24">
        <f t="shared" si="0"/>
        <v>2</v>
      </c>
      <c r="J24" s="84">
        <f t="shared" si="1"/>
        <v>24</v>
      </c>
    </row>
    <row r="25" spans="2:10" s="23" customFormat="1">
      <c r="B25" s="83"/>
      <c r="D25" s="73" t="s">
        <v>53</v>
      </c>
      <c r="E25" s="43">
        <v>2</v>
      </c>
      <c r="F25" s="44">
        <v>8.4</v>
      </c>
      <c r="G25" s="32"/>
      <c r="H25" s="32"/>
      <c r="I25" s="24">
        <f t="shared" si="0"/>
        <v>1.4000000000000001</v>
      </c>
      <c r="J25" s="84">
        <f t="shared" si="1"/>
        <v>16.8</v>
      </c>
    </row>
    <row r="26" spans="2:10" s="23" customFormat="1">
      <c r="B26" s="83"/>
      <c r="D26" s="73" t="s">
        <v>55</v>
      </c>
      <c r="E26" s="41">
        <v>1</v>
      </c>
      <c r="F26" s="42">
        <v>70</v>
      </c>
      <c r="G26" s="32"/>
      <c r="H26" s="32"/>
      <c r="I26" s="24">
        <f t="shared" si="0"/>
        <v>5.833333333333333</v>
      </c>
      <c r="J26" s="84">
        <f t="shared" si="1"/>
        <v>70</v>
      </c>
    </row>
    <row r="27" spans="2:10" s="23" customFormat="1">
      <c r="B27" s="83"/>
      <c r="D27" s="73" t="s">
        <v>56</v>
      </c>
      <c r="E27" s="41">
        <v>1</v>
      </c>
      <c r="F27" s="42">
        <v>8</v>
      </c>
      <c r="G27" s="32"/>
      <c r="H27" s="32"/>
      <c r="I27" s="24">
        <f t="shared" si="0"/>
        <v>0.66666666666666663</v>
      </c>
      <c r="J27" s="84">
        <f t="shared" si="1"/>
        <v>8</v>
      </c>
    </row>
    <row r="28" spans="2:10" s="23" customFormat="1">
      <c r="B28" s="83"/>
      <c r="D28" s="74" t="s">
        <v>57</v>
      </c>
      <c r="E28" s="43"/>
      <c r="F28" s="44"/>
      <c r="G28" s="32"/>
      <c r="H28" s="32"/>
      <c r="I28" s="24">
        <f t="shared" si="0"/>
        <v>0</v>
      </c>
      <c r="J28" s="84">
        <f t="shared" si="1"/>
        <v>0</v>
      </c>
    </row>
    <row r="29" spans="2:10" s="23" customFormat="1" ht="17.25" thickBot="1">
      <c r="B29" s="85"/>
      <c r="C29" s="86"/>
      <c r="D29" s="104" t="s">
        <v>57</v>
      </c>
      <c r="E29" s="88"/>
      <c r="F29" s="89"/>
      <c r="G29" s="90"/>
      <c r="H29" s="90"/>
      <c r="I29" s="91">
        <f t="shared" si="0"/>
        <v>0</v>
      </c>
      <c r="J29" s="92">
        <f t="shared" si="1"/>
        <v>0</v>
      </c>
    </row>
    <row r="30" spans="2:10" s="23" customFormat="1" ht="7.5" customHeight="1" thickBot="1">
      <c r="D30" s="75"/>
      <c r="E30" s="32"/>
      <c r="F30" s="36"/>
      <c r="G30" s="32"/>
      <c r="H30" s="32"/>
      <c r="I30" s="24"/>
      <c r="J30" s="24"/>
    </row>
    <row r="31" spans="2:10" s="23" customFormat="1">
      <c r="B31" s="77" t="s">
        <v>58</v>
      </c>
      <c r="C31" s="78"/>
      <c r="D31" s="96" t="s">
        <v>59</v>
      </c>
      <c r="E31" s="78"/>
      <c r="F31" s="97" t="s">
        <v>60</v>
      </c>
      <c r="G31" s="97" t="s">
        <v>61</v>
      </c>
      <c r="H31" s="80"/>
      <c r="I31" s="81"/>
      <c r="J31" s="82"/>
    </row>
    <row r="32" spans="2:10" s="23" customFormat="1">
      <c r="B32" s="83"/>
      <c r="D32" s="73" t="s">
        <v>38</v>
      </c>
      <c r="F32" s="42">
        <v>10</v>
      </c>
      <c r="G32" s="45">
        <v>13</v>
      </c>
      <c r="H32" s="32"/>
      <c r="I32" s="24">
        <f>(J32/cotton.yield)</f>
        <v>10.833333333333334</v>
      </c>
      <c r="J32" s="84">
        <f>G32*F32</f>
        <v>130</v>
      </c>
    </row>
    <row r="33" spans="2:10" s="23" customFormat="1">
      <c r="B33" s="99"/>
      <c r="D33" s="76" t="s">
        <v>62</v>
      </c>
      <c r="E33" s="31" t="s">
        <v>44</v>
      </c>
      <c r="F33" s="31" t="s">
        <v>45</v>
      </c>
      <c r="G33" s="37"/>
      <c r="H33" s="32"/>
      <c r="I33" s="24"/>
      <c r="J33" s="84"/>
    </row>
    <row r="34" spans="2:10" s="23" customFormat="1" ht="17.25" thickBot="1">
      <c r="B34" s="100"/>
      <c r="C34" s="86"/>
      <c r="D34" s="87" t="s">
        <v>63</v>
      </c>
      <c r="E34" s="94">
        <v>1</v>
      </c>
      <c r="F34" s="95">
        <v>14</v>
      </c>
      <c r="G34" s="101"/>
      <c r="H34" s="90"/>
      <c r="I34" s="91">
        <f>(J34/cotton.yield)</f>
        <v>1.1666666666666667</v>
      </c>
      <c r="J34" s="92">
        <f>F34*E34</f>
        <v>14</v>
      </c>
    </row>
    <row r="35" spans="2:10" s="23" customFormat="1" ht="7.5" customHeight="1" thickBot="1">
      <c r="B35" s="33"/>
      <c r="D35" s="73"/>
      <c r="F35" s="35"/>
      <c r="G35" s="37"/>
      <c r="H35" s="32"/>
      <c r="I35" s="91"/>
      <c r="J35" s="24"/>
    </row>
    <row r="36" spans="2:10" s="23" customFormat="1">
      <c r="B36" s="77" t="s">
        <v>64</v>
      </c>
      <c r="C36" s="96"/>
      <c r="D36" s="96" t="s">
        <v>59</v>
      </c>
      <c r="E36" s="78"/>
      <c r="F36" s="97" t="s">
        <v>60</v>
      </c>
      <c r="G36" s="97" t="s">
        <v>61</v>
      </c>
      <c r="H36" s="80"/>
      <c r="I36" s="81"/>
      <c r="J36" s="82"/>
    </row>
    <row r="37" spans="2:10" s="23" customFormat="1">
      <c r="B37" s="83"/>
      <c r="C37" s="29"/>
      <c r="D37" s="73" t="s">
        <v>65</v>
      </c>
      <c r="F37" s="42">
        <v>1.5</v>
      </c>
      <c r="G37" s="45"/>
      <c r="H37" s="32"/>
      <c r="I37" s="24">
        <f t="shared" ref="I37:I42" si="2">(J37/cotton.yield)</f>
        <v>0</v>
      </c>
      <c r="J37" s="84">
        <f t="shared" ref="J37:J42" si="3">G37*F37</f>
        <v>0</v>
      </c>
    </row>
    <row r="38" spans="2:10" s="23" customFormat="1">
      <c r="B38" s="83"/>
      <c r="C38" s="29" t="s">
        <v>0</v>
      </c>
      <c r="D38" s="73" t="s">
        <v>66</v>
      </c>
      <c r="F38" s="42">
        <v>1.1499999999999999</v>
      </c>
      <c r="G38" s="45">
        <v>510</v>
      </c>
      <c r="H38" s="32"/>
      <c r="I38" s="24">
        <f t="shared" si="2"/>
        <v>48.875</v>
      </c>
      <c r="J38" s="84">
        <f t="shared" si="3"/>
        <v>586.5</v>
      </c>
    </row>
    <row r="39" spans="2:10" s="23" customFormat="1">
      <c r="B39" s="83"/>
      <c r="C39" s="29"/>
      <c r="D39" s="73" t="s">
        <v>67</v>
      </c>
      <c r="F39" s="42">
        <v>1.56</v>
      </c>
      <c r="G39" s="45">
        <v>165</v>
      </c>
      <c r="H39" s="32"/>
      <c r="I39" s="24">
        <f t="shared" si="2"/>
        <v>21.450000000000003</v>
      </c>
      <c r="J39" s="84">
        <f t="shared" si="3"/>
        <v>257.40000000000003</v>
      </c>
    </row>
    <row r="40" spans="2:10" s="23" customFormat="1">
      <c r="B40" s="83"/>
      <c r="D40" s="73" t="s">
        <v>68</v>
      </c>
      <c r="F40" s="44">
        <v>1.01</v>
      </c>
      <c r="G40" s="46">
        <v>100</v>
      </c>
      <c r="H40" s="32"/>
      <c r="I40" s="24">
        <f t="shared" si="2"/>
        <v>8.4166666666666661</v>
      </c>
      <c r="J40" s="84">
        <f t="shared" si="3"/>
        <v>101</v>
      </c>
    </row>
    <row r="41" spans="2:10" s="23" customFormat="1">
      <c r="B41" s="83"/>
      <c r="D41" s="74" t="s">
        <v>57</v>
      </c>
      <c r="F41" s="44"/>
      <c r="G41" s="46"/>
      <c r="H41" s="32"/>
      <c r="I41" s="24">
        <f t="shared" si="2"/>
        <v>0</v>
      </c>
      <c r="J41" s="84">
        <f t="shared" si="3"/>
        <v>0</v>
      </c>
    </row>
    <row r="42" spans="2:10" s="23" customFormat="1">
      <c r="B42" s="83"/>
      <c r="D42" s="74" t="s">
        <v>57</v>
      </c>
      <c r="F42" s="44"/>
      <c r="G42" s="46"/>
      <c r="H42" s="32"/>
      <c r="I42" s="24">
        <f t="shared" si="2"/>
        <v>0</v>
      </c>
      <c r="J42" s="84">
        <f t="shared" si="3"/>
        <v>0</v>
      </c>
    </row>
    <row r="43" spans="2:10" s="23" customFormat="1">
      <c r="B43" s="83"/>
      <c r="D43" s="76" t="s">
        <v>62</v>
      </c>
      <c r="E43" s="31" t="s">
        <v>44</v>
      </c>
      <c r="F43" s="31" t="s">
        <v>45</v>
      </c>
      <c r="G43" s="32"/>
      <c r="H43" s="32"/>
      <c r="I43" s="24"/>
      <c r="J43" s="84"/>
    </row>
    <row r="44" spans="2:10" s="23" customFormat="1">
      <c r="B44" s="83"/>
      <c r="D44" s="73" t="s">
        <v>69</v>
      </c>
      <c r="E44" s="41">
        <v>1</v>
      </c>
      <c r="F44" s="42">
        <v>16</v>
      </c>
      <c r="G44" s="32"/>
      <c r="H44" s="32"/>
      <c r="I44" s="24">
        <f>(J44/cotton.yield)</f>
        <v>1.3333333333333333</v>
      </c>
      <c r="J44" s="84">
        <f>E44*F44</f>
        <v>16</v>
      </c>
    </row>
    <row r="45" spans="2:10" s="23" customFormat="1">
      <c r="B45" s="83"/>
      <c r="D45" s="73" t="s">
        <v>70</v>
      </c>
      <c r="E45" s="41">
        <v>1</v>
      </c>
      <c r="F45" s="42">
        <v>9</v>
      </c>
      <c r="G45" s="32"/>
      <c r="H45" s="32"/>
      <c r="I45" s="24">
        <f>(J45/cotton.yield)</f>
        <v>0.75</v>
      </c>
      <c r="J45" s="84">
        <f>E45*F45</f>
        <v>9</v>
      </c>
    </row>
    <row r="46" spans="2:10" s="23" customFormat="1" ht="16.5" customHeight="1" thickBot="1">
      <c r="B46" s="85"/>
      <c r="C46" s="86"/>
      <c r="D46" s="87" t="s">
        <v>71</v>
      </c>
      <c r="E46" s="94">
        <v>1</v>
      </c>
      <c r="F46" s="95">
        <v>16</v>
      </c>
      <c r="G46" s="90"/>
      <c r="H46" s="90"/>
      <c r="I46" s="91">
        <f>(J46/cotton.yield)</f>
        <v>1.3333333333333333</v>
      </c>
      <c r="J46" s="92">
        <f>E46*F46</f>
        <v>16</v>
      </c>
    </row>
    <row r="47" spans="2:10" s="23" customFormat="1" ht="6.75" customHeight="1" thickBot="1">
      <c r="D47" s="73"/>
      <c r="E47" s="34"/>
      <c r="F47" s="35"/>
      <c r="G47" s="32"/>
      <c r="H47" s="32"/>
      <c r="I47" s="24"/>
      <c r="J47" s="24"/>
    </row>
    <row r="48" spans="2:10" s="23" customFormat="1">
      <c r="B48" s="77" t="s">
        <v>72</v>
      </c>
      <c r="C48" s="78"/>
      <c r="D48" s="96" t="s">
        <v>59</v>
      </c>
      <c r="E48" s="97" t="s">
        <v>73</v>
      </c>
      <c r="F48" s="97" t="s">
        <v>74</v>
      </c>
      <c r="G48" s="97" t="s">
        <v>75</v>
      </c>
      <c r="H48" s="97"/>
      <c r="I48" s="81"/>
      <c r="J48" s="82"/>
    </row>
    <row r="49" spans="2:10" s="23" customFormat="1">
      <c r="B49" s="159" t="s">
        <v>76</v>
      </c>
      <c r="D49" s="73" t="s">
        <v>136</v>
      </c>
      <c r="E49" s="41">
        <v>2</v>
      </c>
      <c r="F49" s="42">
        <v>4</v>
      </c>
      <c r="G49" s="47">
        <v>2</v>
      </c>
      <c r="H49" s="35"/>
      <c r="I49" s="24">
        <f t="shared" ref="I49:I62" si="4">(J49/cotton.yield)</f>
        <v>1.3333333333333333</v>
      </c>
      <c r="J49" s="84">
        <f t="shared" ref="J49:J62" si="5">E49*G49*F49</f>
        <v>16</v>
      </c>
    </row>
    <row r="50" spans="2:10" s="23" customFormat="1">
      <c r="B50" s="159"/>
      <c r="D50" s="73" t="s">
        <v>78</v>
      </c>
      <c r="E50" s="41">
        <v>2</v>
      </c>
      <c r="F50" s="42">
        <v>147</v>
      </c>
      <c r="G50" s="47">
        <v>0.03</v>
      </c>
      <c r="H50" s="35"/>
      <c r="I50" s="24">
        <f t="shared" si="4"/>
        <v>0.73499999999999999</v>
      </c>
      <c r="J50" s="84">
        <f t="shared" si="5"/>
        <v>8.82</v>
      </c>
    </row>
    <row r="51" spans="2:10" s="23" customFormat="1">
      <c r="B51" s="159"/>
      <c r="D51" s="73" t="s">
        <v>79</v>
      </c>
      <c r="E51" s="41">
        <v>1</v>
      </c>
      <c r="F51" s="42">
        <v>5</v>
      </c>
      <c r="G51" s="47">
        <v>2</v>
      </c>
      <c r="H51" s="35"/>
      <c r="I51" s="24">
        <f t="shared" ref="I51:I52" si="6">(J51/cotton.yield)</f>
        <v>0.83333333333333337</v>
      </c>
      <c r="J51" s="84">
        <f t="shared" ref="J51:J52" si="7">E51*G51*F51</f>
        <v>10</v>
      </c>
    </row>
    <row r="52" spans="2:10" s="23" customFormat="1">
      <c r="B52" s="159"/>
      <c r="D52" s="73" t="s">
        <v>144</v>
      </c>
      <c r="E52" s="41">
        <v>1</v>
      </c>
      <c r="F52" s="42">
        <v>7</v>
      </c>
      <c r="G52" s="47">
        <v>3.75</v>
      </c>
      <c r="H52" s="35"/>
      <c r="I52" s="24">
        <f t="shared" si="6"/>
        <v>2.1875</v>
      </c>
      <c r="J52" s="84">
        <f t="shared" si="7"/>
        <v>26.25</v>
      </c>
    </row>
    <row r="53" spans="2:10" s="23" customFormat="1">
      <c r="B53" s="98"/>
      <c r="D53" s="73" t="s">
        <v>81</v>
      </c>
      <c r="E53" s="41">
        <v>2</v>
      </c>
      <c r="F53" s="42">
        <v>11</v>
      </c>
      <c r="G53" s="47">
        <v>1.2</v>
      </c>
      <c r="H53" s="35"/>
      <c r="I53" s="24">
        <f>(J53/cotton.yield)</f>
        <v>2.1999999999999997</v>
      </c>
      <c r="J53" s="84">
        <f>E53*G53*F53</f>
        <v>26.4</v>
      </c>
    </row>
    <row r="54" spans="2:10" s="23" customFormat="1">
      <c r="B54" s="98"/>
      <c r="D54" s="73" t="s">
        <v>77</v>
      </c>
      <c r="E54" s="41">
        <v>2</v>
      </c>
      <c r="F54" s="42">
        <v>9</v>
      </c>
      <c r="G54" s="47">
        <v>1.2</v>
      </c>
      <c r="H54" s="35"/>
      <c r="I54" s="24">
        <f t="shared" si="4"/>
        <v>1.7999999999999998</v>
      </c>
      <c r="J54" s="84">
        <f t="shared" si="5"/>
        <v>21.599999999999998</v>
      </c>
    </row>
    <row r="55" spans="2:10" s="23" customFormat="1">
      <c r="B55" s="98"/>
      <c r="D55" s="73" t="s">
        <v>80</v>
      </c>
      <c r="E55" s="41">
        <v>1</v>
      </c>
      <c r="F55" s="42">
        <v>18</v>
      </c>
      <c r="G55" s="47">
        <v>2.25</v>
      </c>
      <c r="H55" s="35"/>
      <c r="I55" s="24">
        <f t="shared" si="4"/>
        <v>3.375</v>
      </c>
      <c r="J55" s="84">
        <f t="shared" si="5"/>
        <v>40.5</v>
      </c>
    </row>
    <row r="56" spans="2:10" s="23" customFormat="1">
      <c r="B56" s="98"/>
      <c r="D56" s="73" t="s">
        <v>82</v>
      </c>
      <c r="E56" s="41">
        <v>1</v>
      </c>
      <c r="F56" s="42">
        <v>9</v>
      </c>
      <c r="G56" s="47">
        <v>1</v>
      </c>
      <c r="H56" s="35"/>
      <c r="I56" s="24">
        <f t="shared" si="4"/>
        <v>0.75</v>
      </c>
      <c r="J56" s="84">
        <f t="shared" si="5"/>
        <v>9</v>
      </c>
    </row>
    <row r="57" spans="2:10" s="23" customFormat="1">
      <c r="B57" s="98"/>
      <c r="D57" s="73" t="s">
        <v>145</v>
      </c>
      <c r="E57" s="41">
        <v>1</v>
      </c>
      <c r="F57" s="42">
        <v>20</v>
      </c>
      <c r="G57" s="47">
        <v>1.17</v>
      </c>
      <c r="H57" s="35"/>
      <c r="I57" s="24">
        <f t="shared" si="4"/>
        <v>1.95</v>
      </c>
      <c r="J57" s="84">
        <f t="shared" si="5"/>
        <v>23.4</v>
      </c>
    </row>
    <row r="58" spans="2:10" s="23" customFormat="1">
      <c r="B58" s="98"/>
      <c r="D58" s="74" t="s">
        <v>57</v>
      </c>
      <c r="E58" s="41"/>
      <c r="F58" s="42"/>
      <c r="G58" s="41"/>
      <c r="H58" s="35"/>
      <c r="I58" s="24">
        <f t="shared" si="4"/>
        <v>0</v>
      </c>
      <c r="J58" s="84">
        <f t="shared" si="5"/>
        <v>0</v>
      </c>
    </row>
    <row r="59" spans="2:10" s="23" customFormat="1">
      <c r="B59" s="98"/>
      <c r="D59" s="74" t="s">
        <v>57</v>
      </c>
      <c r="E59" s="41"/>
      <c r="F59" s="42"/>
      <c r="G59" s="41"/>
      <c r="H59" s="35"/>
      <c r="I59" s="24">
        <f t="shared" ref="I59" si="8">(J59/cotton.yield)</f>
        <v>0</v>
      </c>
      <c r="J59" s="84">
        <f t="shared" ref="J59" si="9">E59*G59*F59</f>
        <v>0</v>
      </c>
    </row>
    <row r="60" spans="2:10" s="23" customFormat="1">
      <c r="B60" s="98"/>
      <c r="D60" s="74" t="s">
        <v>57</v>
      </c>
      <c r="E60" s="41"/>
      <c r="F60" s="42"/>
      <c r="G60" s="41"/>
      <c r="H60" s="35"/>
      <c r="I60" s="24">
        <f t="shared" si="4"/>
        <v>0</v>
      </c>
      <c r="J60" s="84">
        <f t="shared" si="5"/>
        <v>0</v>
      </c>
    </row>
    <row r="61" spans="2:10" s="23" customFormat="1" ht="18" customHeight="1">
      <c r="B61" s="98"/>
      <c r="D61" s="74" t="s">
        <v>57</v>
      </c>
      <c r="E61" s="41"/>
      <c r="F61" s="42"/>
      <c r="G61" s="41"/>
      <c r="H61" s="35"/>
      <c r="I61" s="24">
        <f t="shared" si="4"/>
        <v>0</v>
      </c>
      <c r="J61" s="84">
        <f t="shared" si="5"/>
        <v>0</v>
      </c>
    </row>
    <row r="62" spans="2:10" s="23" customFormat="1" ht="18" customHeight="1">
      <c r="B62" s="99" t="s">
        <v>83</v>
      </c>
      <c r="D62" s="73" t="s">
        <v>146</v>
      </c>
      <c r="E62" s="41">
        <v>1</v>
      </c>
      <c r="F62" s="42">
        <v>22</v>
      </c>
      <c r="G62" s="47">
        <v>0.06</v>
      </c>
      <c r="H62" s="32"/>
      <c r="I62" s="24">
        <f t="shared" si="4"/>
        <v>0.10999999999999999</v>
      </c>
      <c r="J62" s="84">
        <f t="shared" si="5"/>
        <v>1.3199999999999998</v>
      </c>
    </row>
    <row r="63" spans="2:10" s="23" customFormat="1" ht="18" customHeight="1">
      <c r="B63" s="99"/>
      <c r="D63" s="73" t="s">
        <v>147</v>
      </c>
      <c r="E63" s="41">
        <v>1</v>
      </c>
      <c r="F63" s="42">
        <v>22</v>
      </c>
      <c r="G63" s="47">
        <v>0.2</v>
      </c>
      <c r="H63" s="32"/>
      <c r="I63" s="24">
        <f t="shared" ref="I63" si="10">(J63/cotton.yield)</f>
        <v>0.3666666666666667</v>
      </c>
      <c r="J63" s="84">
        <f t="shared" ref="J63" si="11">E63*G63*F63</f>
        <v>4.4000000000000004</v>
      </c>
    </row>
    <row r="64" spans="2:10" s="23" customFormat="1">
      <c r="B64" s="83"/>
      <c r="D64" s="76" t="s">
        <v>62</v>
      </c>
      <c r="E64" s="31" t="s">
        <v>44</v>
      </c>
      <c r="F64" s="31" t="s">
        <v>45</v>
      </c>
      <c r="G64" s="38"/>
      <c r="H64" s="38"/>
      <c r="I64" s="24"/>
      <c r="J64" s="84"/>
    </row>
    <row r="65" spans="2:10" s="23" customFormat="1">
      <c r="B65" s="83"/>
      <c r="D65" s="73" t="s">
        <v>84</v>
      </c>
      <c r="E65" s="41">
        <v>0</v>
      </c>
      <c r="F65" s="42">
        <v>9</v>
      </c>
      <c r="G65" s="32"/>
      <c r="H65" s="32"/>
      <c r="I65" s="24">
        <f>(J65/cotton.yield)</f>
        <v>0</v>
      </c>
      <c r="J65" s="84">
        <f>E65*F65</f>
        <v>0</v>
      </c>
    </row>
    <row r="66" spans="2:10" s="23" customFormat="1">
      <c r="B66" s="83"/>
      <c r="D66" s="73" t="s">
        <v>85</v>
      </c>
      <c r="E66" s="41">
        <v>4</v>
      </c>
      <c r="F66" s="42">
        <v>2</v>
      </c>
      <c r="G66" s="32"/>
      <c r="H66" s="32"/>
      <c r="I66" s="24">
        <f>(J66/cotton.yield)</f>
        <v>0.66666666666666663</v>
      </c>
      <c r="J66" s="84">
        <f t="shared" ref="J66" si="12">E66*F66</f>
        <v>8</v>
      </c>
    </row>
    <row r="67" spans="2:10" s="23" customFormat="1" ht="16.5" customHeight="1" thickBot="1">
      <c r="B67" s="85"/>
      <c r="C67" s="86"/>
      <c r="D67" s="87" t="s">
        <v>86</v>
      </c>
      <c r="E67" s="94">
        <v>6</v>
      </c>
      <c r="F67" s="95">
        <v>20</v>
      </c>
      <c r="G67" s="90"/>
      <c r="H67" s="90"/>
      <c r="I67" s="91">
        <f>(J67/cotton.yield)</f>
        <v>10</v>
      </c>
      <c r="J67" s="92">
        <f>E67*F67</f>
        <v>120</v>
      </c>
    </row>
    <row r="68" spans="2:10" s="23" customFormat="1" ht="7.5" customHeight="1" thickBot="1">
      <c r="D68" s="73"/>
      <c r="E68" s="34"/>
      <c r="F68" s="35"/>
      <c r="G68" s="32"/>
      <c r="H68" s="32"/>
      <c r="I68" s="24"/>
      <c r="J68" s="24"/>
    </row>
    <row r="69" spans="2:10" s="23" customFormat="1">
      <c r="B69" s="77" t="s">
        <v>87</v>
      </c>
      <c r="C69" s="78"/>
      <c r="D69" s="96" t="s">
        <v>59</v>
      </c>
      <c r="E69" s="97" t="s">
        <v>73</v>
      </c>
      <c r="F69" s="97" t="s">
        <v>74</v>
      </c>
      <c r="G69" s="97" t="s">
        <v>75</v>
      </c>
      <c r="H69" s="93"/>
      <c r="I69" s="81"/>
      <c r="J69" s="82"/>
    </row>
    <row r="70" spans="2:10" s="23" customFormat="1">
      <c r="B70" s="83"/>
      <c r="D70" s="73" t="s">
        <v>88</v>
      </c>
      <c r="E70" s="41">
        <v>1</v>
      </c>
      <c r="F70" s="42">
        <v>311</v>
      </c>
      <c r="G70" s="47">
        <v>0.14000000000000001</v>
      </c>
      <c r="H70" s="35"/>
      <c r="I70" s="24">
        <f t="shared" ref="I70:I77" si="13">(J70/cotton.yield)</f>
        <v>3.6283333333333339</v>
      </c>
      <c r="J70" s="84">
        <f>E70*G70*F70</f>
        <v>43.540000000000006</v>
      </c>
    </row>
    <row r="71" spans="2:10" s="23" customFormat="1">
      <c r="B71" s="83"/>
      <c r="D71" s="73" t="s">
        <v>89</v>
      </c>
      <c r="E71" s="41">
        <v>1</v>
      </c>
      <c r="F71" s="42">
        <v>62</v>
      </c>
      <c r="G71" s="47">
        <v>7.0000000000000007E-2</v>
      </c>
      <c r="H71" s="35"/>
      <c r="I71" s="24">
        <f t="shared" si="13"/>
        <v>0.36166666666666675</v>
      </c>
      <c r="J71" s="84">
        <f>E71*G71*F71</f>
        <v>4.3400000000000007</v>
      </c>
    </row>
    <row r="72" spans="2:10" s="23" customFormat="1">
      <c r="B72" s="83"/>
      <c r="D72" s="73" t="s">
        <v>137</v>
      </c>
      <c r="E72" s="41">
        <v>1</v>
      </c>
      <c r="F72" s="42">
        <v>165</v>
      </c>
      <c r="G72" s="47">
        <v>0.4</v>
      </c>
      <c r="H72" s="35"/>
      <c r="I72" s="24">
        <f t="shared" si="13"/>
        <v>5.5</v>
      </c>
      <c r="J72" s="84">
        <f>E72*G72*F72</f>
        <v>66</v>
      </c>
    </row>
    <row r="73" spans="2:10" s="23" customFormat="1">
      <c r="B73" s="83"/>
      <c r="D73" s="73" t="s">
        <v>138</v>
      </c>
      <c r="E73" s="41">
        <v>1</v>
      </c>
      <c r="F73" s="44">
        <v>83</v>
      </c>
      <c r="G73" s="48">
        <v>0.3</v>
      </c>
      <c r="H73" s="36"/>
      <c r="I73" s="24">
        <f t="shared" si="13"/>
        <v>2.0749999999999997</v>
      </c>
      <c r="J73" s="84">
        <f>E73*G73*F73</f>
        <v>24.9</v>
      </c>
    </row>
    <row r="74" spans="2:10" s="23" customFormat="1">
      <c r="B74" s="83"/>
      <c r="D74" s="74" t="s">
        <v>57</v>
      </c>
      <c r="E74" s="41"/>
      <c r="F74" s="47"/>
      <c r="G74" s="42"/>
      <c r="H74" s="35"/>
      <c r="I74" s="24">
        <f t="shared" si="13"/>
        <v>0</v>
      </c>
      <c r="J74" s="84">
        <f t="shared" ref="J74:J77" si="14">E74*F74*G74</f>
        <v>0</v>
      </c>
    </row>
    <row r="75" spans="2:10" s="23" customFormat="1">
      <c r="B75" s="83"/>
      <c r="D75" s="74" t="s">
        <v>57</v>
      </c>
      <c r="E75" s="41"/>
      <c r="F75" s="47"/>
      <c r="G75" s="42"/>
      <c r="H75" s="35"/>
      <c r="I75" s="24">
        <f t="shared" ref="I75" si="15">(J75/cotton.yield)</f>
        <v>0</v>
      </c>
      <c r="J75" s="84">
        <f t="shared" ref="J75" si="16">E75*F75*G75</f>
        <v>0</v>
      </c>
    </row>
    <row r="76" spans="2:10" s="23" customFormat="1">
      <c r="B76" s="83"/>
      <c r="D76" s="74" t="s">
        <v>57</v>
      </c>
      <c r="E76" s="41"/>
      <c r="F76" s="47"/>
      <c r="G76" s="42"/>
      <c r="H76" s="35"/>
      <c r="I76" s="24">
        <f t="shared" si="13"/>
        <v>0</v>
      </c>
      <c r="J76" s="84">
        <f t="shared" si="14"/>
        <v>0</v>
      </c>
    </row>
    <row r="77" spans="2:10" s="23" customFormat="1">
      <c r="B77" s="83"/>
      <c r="D77" s="74" t="s">
        <v>57</v>
      </c>
      <c r="E77" s="41"/>
      <c r="F77" s="48"/>
      <c r="G77" s="49"/>
      <c r="H77" s="38"/>
      <c r="I77" s="24">
        <f t="shared" si="13"/>
        <v>0</v>
      </c>
      <c r="J77" s="84">
        <f t="shared" si="14"/>
        <v>0</v>
      </c>
    </row>
    <row r="78" spans="2:10" s="23" customFormat="1">
      <c r="B78" s="83"/>
      <c r="D78" s="76" t="s">
        <v>62</v>
      </c>
      <c r="E78" s="31" t="s">
        <v>44</v>
      </c>
      <c r="F78" s="31" t="s">
        <v>45</v>
      </c>
      <c r="G78" s="38"/>
      <c r="H78" s="38"/>
      <c r="I78" s="24"/>
      <c r="J78" s="84"/>
    </row>
    <row r="79" spans="2:10" s="23" customFormat="1">
      <c r="B79" s="83"/>
      <c r="D79" s="73" t="s">
        <v>85</v>
      </c>
      <c r="E79" s="41">
        <v>1</v>
      </c>
      <c r="F79" s="42">
        <v>2</v>
      </c>
      <c r="G79" s="32"/>
      <c r="H79" s="32"/>
      <c r="I79" s="24">
        <f>(J79/cotton.yield)</f>
        <v>0.16666666666666666</v>
      </c>
      <c r="J79" s="84">
        <f t="shared" ref="J79" si="17">E79*F79</f>
        <v>2</v>
      </c>
    </row>
    <row r="80" spans="2:10" s="23" customFormat="1" ht="16.5" customHeight="1" thickBot="1">
      <c r="B80" s="85"/>
      <c r="C80" s="86"/>
      <c r="D80" s="87" t="s">
        <v>90</v>
      </c>
      <c r="E80" s="94">
        <v>3</v>
      </c>
      <c r="F80" s="95">
        <v>20</v>
      </c>
      <c r="G80" s="90"/>
      <c r="H80" s="90"/>
      <c r="I80" s="91">
        <f>(J80/cotton.yield)</f>
        <v>5</v>
      </c>
      <c r="J80" s="92">
        <f>E80*F80</f>
        <v>60</v>
      </c>
    </row>
    <row r="81" spans="2:10" s="23" customFormat="1" ht="7.5" customHeight="1" thickBot="1">
      <c r="E81" s="31"/>
      <c r="F81" s="31"/>
      <c r="G81" s="32"/>
      <c r="H81" s="32"/>
      <c r="I81" s="24"/>
      <c r="J81" s="24"/>
    </row>
    <row r="82" spans="2:10" s="23" customFormat="1">
      <c r="B82" s="77" t="s">
        <v>91</v>
      </c>
      <c r="C82" s="78"/>
      <c r="D82" s="96" t="s">
        <v>59</v>
      </c>
      <c r="E82" s="97" t="s">
        <v>73</v>
      </c>
      <c r="F82" s="97" t="s">
        <v>74</v>
      </c>
      <c r="G82" s="97" t="s">
        <v>75</v>
      </c>
      <c r="H82" s="80"/>
      <c r="I82" s="81"/>
      <c r="J82" s="82"/>
    </row>
    <row r="83" spans="2:10" s="23" customFormat="1">
      <c r="B83" s="83"/>
      <c r="D83" s="73" t="s">
        <v>139</v>
      </c>
      <c r="E83" s="41">
        <v>1</v>
      </c>
      <c r="F83" s="42">
        <v>94</v>
      </c>
      <c r="G83" s="47">
        <v>0.13</v>
      </c>
      <c r="H83" s="32"/>
      <c r="I83" s="24">
        <f t="shared" ref="I83:I89" si="18">(J83/cotton.yield)</f>
        <v>1.0183333333333333</v>
      </c>
      <c r="J83" s="84">
        <f>E83*G83*F83</f>
        <v>12.22</v>
      </c>
    </row>
    <row r="84" spans="2:10" s="23" customFormat="1">
      <c r="B84" s="83"/>
      <c r="D84" s="73" t="s">
        <v>92</v>
      </c>
      <c r="E84" s="41">
        <v>1</v>
      </c>
      <c r="F84" s="42">
        <v>26</v>
      </c>
      <c r="G84" s="47">
        <v>0.15</v>
      </c>
      <c r="H84" s="32"/>
      <c r="I84" s="24">
        <f t="shared" si="18"/>
        <v>0.32500000000000001</v>
      </c>
      <c r="J84" s="84">
        <f>E84*G84*F84</f>
        <v>3.9</v>
      </c>
    </row>
    <row r="85" spans="2:10" s="23" customFormat="1">
      <c r="B85" s="83"/>
      <c r="D85" s="73" t="s">
        <v>140</v>
      </c>
      <c r="E85" s="41">
        <v>3</v>
      </c>
      <c r="F85" s="42">
        <v>10</v>
      </c>
      <c r="G85" s="47">
        <v>1.2</v>
      </c>
      <c r="H85" s="32"/>
      <c r="I85" s="24">
        <f t="shared" si="18"/>
        <v>3</v>
      </c>
      <c r="J85" s="84">
        <f>E85*G85*F85</f>
        <v>36</v>
      </c>
    </row>
    <row r="86" spans="2:10" s="23" customFormat="1">
      <c r="B86" s="83"/>
      <c r="D86" s="73" t="s">
        <v>93</v>
      </c>
      <c r="E86" s="41">
        <v>3</v>
      </c>
      <c r="F86" s="44">
        <v>7</v>
      </c>
      <c r="G86" s="48">
        <v>1</v>
      </c>
      <c r="H86" s="32"/>
      <c r="I86" s="24">
        <f t="shared" si="18"/>
        <v>1.75</v>
      </c>
      <c r="J86" s="84">
        <f>E86*G86*F86</f>
        <v>21</v>
      </c>
    </row>
    <row r="87" spans="2:10" s="23" customFormat="1">
      <c r="B87" s="83"/>
      <c r="D87" s="73" t="s">
        <v>94</v>
      </c>
      <c r="E87" s="41">
        <v>1</v>
      </c>
      <c r="F87" s="44">
        <v>87</v>
      </c>
      <c r="G87" s="48">
        <v>0.08</v>
      </c>
      <c r="H87" s="32"/>
      <c r="I87" s="24">
        <f t="shared" si="18"/>
        <v>0.57999999999999996</v>
      </c>
      <c r="J87" s="84">
        <f>E87*G87*F87</f>
        <v>6.96</v>
      </c>
    </row>
    <row r="88" spans="2:10" s="23" customFormat="1">
      <c r="B88" s="83"/>
      <c r="D88" s="74" t="s">
        <v>57</v>
      </c>
      <c r="E88" s="41"/>
      <c r="F88" s="48"/>
      <c r="G88" s="44"/>
      <c r="H88" s="32"/>
      <c r="I88" s="24">
        <f t="shared" si="18"/>
        <v>0</v>
      </c>
      <c r="J88" s="84">
        <f t="shared" ref="J88:J89" si="19">E88*F88*G88</f>
        <v>0</v>
      </c>
    </row>
    <row r="89" spans="2:10" s="23" customFormat="1">
      <c r="B89" s="83"/>
      <c r="D89" s="74" t="s">
        <v>57</v>
      </c>
      <c r="E89" s="41"/>
      <c r="F89" s="48"/>
      <c r="G89" s="44"/>
      <c r="H89" s="32"/>
      <c r="I89" s="24">
        <f t="shared" si="18"/>
        <v>0</v>
      </c>
      <c r="J89" s="84">
        <f t="shared" si="19"/>
        <v>0</v>
      </c>
    </row>
    <row r="90" spans="2:10" s="23" customFormat="1">
      <c r="B90" s="83"/>
      <c r="D90" s="76" t="s">
        <v>62</v>
      </c>
      <c r="E90" s="31" t="s">
        <v>44</v>
      </c>
      <c r="F90" s="31" t="s">
        <v>45</v>
      </c>
      <c r="G90" s="36"/>
      <c r="H90" s="32"/>
      <c r="I90" s="24"/>
      <c r="J90" s="84"/>
    </row>
    <row r="91" spans="2:10" s="23" customFormat="1">
      <c r="B91" s="83"/>
      <c r="D91" s="73" t="s">
        <v>95</v>
      </c>
      <c r="E91" s="41">
        <v>0</v>
      </c>
      <c r="F91" s="42">
        <v>3</v>
      </c>
      <c r="G91" s="32"/>
      <c r="H91" s="32"/>
      <c r="I91" s="24">
        <f>(J91/cotton.yield)</f>
        <v>0</v>
      </c>
      <c r="J91" s="84">
        <f t="shared" ref="J91" si="20">E91*F91</f>
        <v>0</v>
      </c>
    </row>
    <row r="92" spans="2:10" s="23" customFormat="1" ht="16.5" customHeight="1" thickBot="1">
      <c r="B92" s="85"/>
      <c r="C92" s="86"/>
      <c r="D92" s="87" t="s">
        <v>96</v>
      </c>
      <c r="E92" s="88">
        <v>3</v>
      </c>
      <c r="F92" s="89">
        <v>20</v>
      </c>
      <c r="G92" s="90"/>
      <c r="H92" s="90"/>
      <c r="I92" s="91">
        <f>(J92/cotton.yield)</f>
        <v>5</v>
      </c>
      <c r="J92" s="92">
        <f>E92*F92</f>
        <v>60</v>
      </c>
    </row>
    <row r="93" spans="2:10" s="23" customFormat="1" ht="7.5" customHeight="1" thickBot="1">
      <c r="D93" s="73"/>
      <c r="E93" s="32"/>
      <c r="F93" s="36"/>
      <c r="G93" s="32"/>
      <c r="H93" s="32"/>
      <c r="I93" s="24"/>
      <c r="J93" s="24"/>
    </row>
    <row r="94" spans="2:10" s="23" customFormat="1">
      <c r="B94" s="77" t="s">
        <v>97</v>
      </c>
      <c r="C94" s="78"/>
      <c r="D94" s="78"/>
      <c r="E94" s="97" t="s">
        <v>98</v>
      </c>
      <c r="F94" s="97" t="s">
        <v>99</v>
      </c>
      <c r="G94" s="80"/>
      <c r="H94" s="80"/>
      <c r="I94" s="81"/>
      <c r="J94" s="82"/>
    </row>
    <row r="95" spans="2:10" s="23" customFormat="1" ht="16.5" customHeight="1" thickBot="1">
      <c r="B95" s="85"/>
      <c r="C95" s="86"/>
      <c r="D95" s="86"/>
      <c r="E95" s="132">
        <f>'Gross Margin Comparison'!E8</f>
        <v>7.8</v>
      </c>
      <c r="F95" s="95">
        <v>68.069999999999993</v>
      </c>
      <c r="G95" s="90"/>
      <c r="H95" s="90"/>
      <c r="I95" s="91">
        <f>J95/cotton.yield</f>
        <v>44.245499999999993</v>
      </c>
      <c r="J95" s="92">
        <f>E95*F95</f>
        <v>530.94599999999991</v>
      </c>
    </row>
    <row r="96" spans="2:10" s="23" customFormat="1" ht="7.5" customHeight="1" thickBot="1">
      <c r="B96" s="33"/>
      <c r="E96" s="31"/>
      <c r="F96" s="35"/>
      <c r="G96" s="32"/>
      <c r="H96" s="32"/>
      <c r="I96" s="24"/>
      <c r="J96" s="24"/>
    </row>
    <row r="97" spans="2:10" s="23" customFormat="1" ht="16.5" customHeight="1">
      <c r="B97" s="77" t="s">
        <v>100</v>
      </c>
      <c r="C97" s="78"/>
      <c r="D97" s="78"/>
      <c r="E97" s="120"/>
      <c r="F97" s="93"/>
      <c r="G97" s="80"/>
      <c r="H97" s="80"/>
      <c r="I97" s="81"/>
      <c r="J97" s="121">
        <v>75</v>
      </c>
    </row>
    <row r="98" spans="2:10" s="23" customFormat="1" ht="7.5" customHeight="1">
      <c r="B98" s="83"/>
      <c r="E98" s="36"/>
      <c r="F98" s="32"/>
      <c r="G98" s="32"/>
      <c r="H98" s="32"/>
      <c r="I98" s="24"/>
      <c r="J98" s="84" t="s">
        <v>0</v>
      </c>
    </row>
    <row r="99" spans="2:10" s="23" customFormat="1" ht="16.5" customHeight="1">
      <c r="B99" s="99" t="s">
        <v>101</v>
      </c>
      <c r="E99" s="36"/>
      <c r="F99" s="32"/>
      <c r="G99" s="32"/>
      <c r="H99" s="32"/>
      <c r="I99" s="24"/>
      <c r="J99" s="122">
        <v>2.35</v>
      </c>
    </row>
    <row r="100" spans="2:10" s="23" customFormat="1" ht="7.5" customHeight="1">
      <c r="B100" s="83"/>
      <c r="E100" s="36"/>
      <c r="F100" s="32"/>
      <c r="G100" s="32"/>
      <c r="H100" s="32"/>
      <c r="I100" s="24"/>
      <c r="J100" s="84" t="s">
        <v>0</v>
      </c>
    </row>
    <row r="101" spans="2:10" s="23" customFormat="1" ht="16.5" customHeight="1">
      <c r="B101" s="99" t="s">
        <v>102</v>
      </c>
      <c r="E101" s="36"/>
      <c r="F101" s="32"/>
      <c r="G101" s="32"/>
      <c r="H101" s="32"/>
      <c r="I101" s="24"/>
      <c r="J101" s="122">
        <v>8.75</v>
      </c>
    </row>
    <row r="102" spans="2:10" s="23" customFormat="1" ht="7.5" customHeight="1">
      <c r="B102" s="83"/>
      <c r="E102" s="36"/>
      <c r="F102" s="32"/>
      <c r="G102" s="32"/>
      <c r="H102" s="32"/>
      <c r="I102" s="24"/>
      <c r="J102" s="84" t="s">
        <v>0</v>
      </c>
    </row>
    <row r="103" spans="2:10" s="23" customFormat="1" ht="16.5" customHeight="1">
      <c r="B103" s="99" t="s">
        <v>103</v>
      </c>
      <c r="E103" s="36"/>
      <c r="F103" s="32"/>
      <c r="G103" s="32"/>
      <c r="H103" s="32"/>
      <c r="I103" s="117">
        <v>2</v>
      </c>
      <c r="J103" s="84">
        <f>I103*cotton.yield</f>
        <v>24</v>
      </c>
    </row>
    <row r="104" spans="2:10" s="23" customFormat="1" ht="7.5" customHeight="1">
      <c r="B104" s="83"/>
      <c r="E104" s="36"/>
      <c r="F104" s="32"/>
      <c r="G104" s="32"/>
      <c r="H104" s="32"/>
      <c r="I104" s="24"/>
      <c r="J104" s="84"/>
    </row>
    <row r="105" spans="2:10" s="23" customFormat="1" ht="16.5" customHeight="1">
      <c r="B105" s="99" t="s">
        <v>104</v>
      </c>
      <c r="E105" s="36"/>
      <c r="F105" s="32"/>
      <c r="G105" s="32"/>
      <c r="H105" s="32"/>
      <c r="I105" s="24"/>
      <c r="J105" s="122">
        <v>20</v>
      </c>
    </row>
    <row r="106" spans="2:10" s="23" customFormat="1" ht="7.5" customHeight="1">
      <c r="B106" s="98"/>
      <c r="E106" s="36"/>
      <c r="F106" s="32"/>
      <c r="G106" s="32"/>
      <c r="H106" s="32"/>
      <c r="I106" s="24"/>
      <c r="J106" s="84"/>
    </row>
    <row r="107" spans="2:10" s="23" customFormat="1" ht="16.5" customHeight="1">
      <c r="B107" s="99" t="s">
        <v>105</v>
      </c>
      <c r="E107" s="36"/>
      <c r="F107" s="32"/>
      <c r="G107" s="32"/>
      <c r="H107" s="32"/>
      <c r="I107" s="24"/>
      <c r="J107" s="122">
        <v>272</v>
      </c>
    </row>
    <row r="108" spans="2:10" s="23" customFormat="1" ht="7.5" customHeight="1">
      <c r="B108" s="98"/>
      <c r="E108" s="36"/>
      <c r="F108" s="32"/>
      <c r="G108" s="32"/>
      <c r="H108" s="32"/>
      <c r="I108" s="24"/>
      <c r="J108" s="84"/>
    </row>
    <row r="109" spans="2:10" s="23" customFormat="1" ht="16.5" customHeight="1">
      <c r="B109" s="99" t="s">
        <v>133</v>
      </c>
      <c r="E109" s="36"/>
      <c r="F109" s="32"/>
      <c r="G109" s="128" t="s">
        <v>132</v>
      </c>
      <c r="I109" s="24"/>
      <c r="J109" s="158">
        <v>405</v>
      </c>
    </row>
    <row r="110" spans="2:10" s="23" customFormat="1" ht="16.5" customHeight="1" thickBot="1">
      <c r="B110" s="100"/>
      <c r="C110" s="86"/>
      <c r="D110" s="86"/>
      <c r="E110" s="123"/>
      <c r="F110" s="90"/>
      <c r="G110" s="164" t="s">
        <v>106</v>
      </c>
      <c r="H110" s="86"/>
      <c r="I110" s="160"/>
      <c r="J110" s="161">
        <f>I110*cotton.yield2</f>
        <v>0</v>
      </c>
    </row>
    <row r="111" spans="2:10" s="23" customFormat="1" ht="7.5" customHeight="1" thickBot="1">
      <c r="E111" s="31"/>
      <c r="F111" s="31"/>
      <c r="G111" s="32"/>
      <c r="H111" s="32"/>
      <c r="I111" s="31"/>
      <c r="J111" s="31"/>
    </row>
    <row r="112" spans="2:10" s="23" customFormat="1">
      <c r="B112" s="77" t="s">
        <v>107</v>
      </c>
      <c r="C112" s="78"/>
      <c r="D112" s="78"/>
      <c r="E112" s="78"/>
      <c r="F112" s="78"/>
      <c r="G112" s="78"/>
      <c r="H112" s="78"/>
      <c r="I112" s="78"/>
      <c r="J112" s="124"/>
    </row>
    <row r="113" spans="2:10" s="23" customFormat="1">
      <c r="B113" s="83"/>
      <c r="C113" s="73" t="s">
        <v>108</v>
      </c>
      <c r="E113" s="34"/>
      <c r="F113" s="35"/>
      <c r="G113" s="32"/>
      <c r="H113" s="32"/>
      <c r="I113" s="125">
        <f>J113/cotton.yield</f>
        <v>7.833333333333333</v>
      </c>
      <c r="J113" s="126">
        <v>94</v>
      </c>
    </row>
    <row r="114" spans="2:10" s="23" customFormat="1">
      <c r="B114" s="83"/>
      <c r="C114" s="73" t="s">
        <v>109</v>
      </c>
      <c r="E114" s="34"/>
      <c r="F114" s="42">
        <v>47</v>
      </c>
      <c r="G114" s="73" t="s">
        <v>110</v>
      </c>
      <c r="H114" s="32"/>
      <c r="I114" s="125">
        <f>F114/4.5</f>
        <v>10.444444444444445</v>
      </c>
      <c r="J114" s="127">
        <f>I114*cotton.yield</f>
        <v>125.33333333333334</v>
      </c>
    </row>
    <row r="115" spans="2:10" s="23" customFormat="1">
      <c r="B115" s="83"/>
      <c r="C115" s="73" t="s">
        <v>111</v>
      </c>
      <c r="D115" s="128" t="s">
        <v>112</v>
      </c>
      <c r="E115" s="115">
        <v>50</v>
      </c>
      <c r="F115" s="42">
        <v>3.5</v>
      </c>
      <c r="G115" s="73" t="s">
        <v>113</v>
      </c>
      <c r="H115" s="42">
        <v>6</v>
      </c>
      <c r="I115" s="129" t="s">
        <v>114</v>
      </c>
      <c r="J115" s="127">
        <f>E115*F115+(cotton.yield/4.5*H115)</f>
        <v>191</v>
      </c>
    </row>
    <row r="116" spans="2:10" s="23" customFormat="1">
      <c r="B116" s="83"/>
      <c r="C116" s="73" t="s">
        <v>115</v>
      </c>
      <c r="E116" s="34"/>
      <c r="F116" s="35"/>
      <c r="G116" s="130"/>
      <c r="H116" s="32"/>
      <c r="I116" s="131">
        <v>75</v>
      </c>
      <c r="J116" s="127">
        <f>I116*cotton.yield</f>
        <v>900</v>
      </c>
    </row>
    <row r="117" spans="2:10" s="23" customFormat="1" ht="16.5" customHeight="1" thickBot="1">
      <c r="B117" s="85"/>
      <c r="C117" s="87" t="s">
        <v>116</v>
      </c>
      <c r="D117" s="86"/>
      <c r="E117" s="132"/>
      <c r="F117" s="119" t="s">
        <v>0</v>
      </c>
      <c r="G117" s="90"/>
      <c r="H117" s="90"/>
      <c r="I117" s="133">
        <v>3.75</v>
      </c>
      <c r="J117" s="134">
        <f>I117*cotton.yield</f>
        <v>45</v>
      </c>
    </row>
    <row r="118" spans="2:10" s="23" customFormat="1" ht="7.5" customHeight="1" thickBot="1">
      <c r="C118" s="73"/>
      <c r="E118" s="34"/>
      <c r="F118" s="35"/>
      <c r="G118" s="32"/>
      <c r="H118" s="32"/>
      <c r="I118" s="136"/>
      <c r="J118" s="135"/>
    </row>
    <row r="119" spans="2:10" s="23" customFormat="1" ht="18.75" customHeight="1">
      <c r="B119" s="77" t="s">
        <v>117</v>
      </c>
      <c r="C119" s="78"/>
      <c r="D119" s="79"/>
      <c r="E119" s="137"/>
      <c r="F119" s="93"/>
      <c r="G119" s="80"/>
      <c r="H119" s="80"/>
      <c r="I119" s="138"/>
      <c r="J119" s="156"/>
    </row>
    <row r="120" spans="2:10" s="23" customFormat="1" ht="18.75" customHeight="1" thickBot="1">
      <c r="B120" s="139" t="s">
        <v>118</v>
      </c>
      <c r="C120" s="86"/>
      <c r="D120" s="86"/>
      <c r="E120" s="90"/>
      <c r="F120" s="90"/>
      <c r="G120" s="90"/>
      <c r="H120" s="140"/>
      <c r="I120" s="86"/>
      <c r="J120" s="157">
        <v>0</v>
      </c>
    </row>
    <row r="121" spans="2:10" s="23" customFormat="1">
      <c r="B121" s="110"/>
      <c r="E121" s="32"/>
      <c r="F121" s="32"/>
      <c r="G121" s="32"/>
      <c r="H121" s="39"/>
      <c r="I121" s="31" t="s">
        <v>46</v>
      </c>
      <c r="J121" s="31" t="s">
        <v>34</v>
      </c>
    </row>
    <row r="122" spans="2:10" s="23" customFormat="1" ht="16.5" customHeight="1">
      <c r="H122" s="143" t="s">
        <v>119</v>
      </c>
      <c r="I122" s="53">
        <f>J122/cotton.yield</f>
        <v>391.38577777777778</v>
      </c>
      <c r="J122" s="53">
        <f>SUM(J17:J120)</f>
        <v>4696.6293333333333</v>
      </c>
    </row>
    <row r="123" spans="2:10" s="23" customFormat="1" ht="16.5" customHeight="1">
      <c r="C123" s="190" t="s">
        <v>131</v>
      </c>
    </row>
    <row r="124" spans="2:10" s="23" customFormat="1" ht="16.5" customHeight="1">
      <c r="C124" s="190" t="s">
        <v>134</v>
      </c>
      <c r="F124" s="162" t="s">
        <v>18</v>
      </c>
    </row>
    <row r="125" spans="2:10" s="23" customFormat="1" ht="72" customHeight="1"/>
    <row r="126" spans="2:10" s="23" customFormat="1" ht="18.75" customHeight="1"/>
    <row r="127" spans="2:10" s="23" customFormat="1"/>
    <row r="128" spans="2:10" s="23" customFormat="1">
      <c r="B128" s="111" t="s">
        <v>120</v>
      </c>
      <c r="E128" s="112" t="s">
        <v>121</v>
      </c>
    </row>
    <row r="129" spans="3:5" s="23" customFormat="1">
      <c r="C129" s="118" t="str">
        <f>B119</f>
        <v>Labour</v>
      </c>
      <c r="D129" s="118"/>
      <c r="E129" s="109">
        <f>J120</f>
        <v>0</v>
      </c>
    </row>
    <row r="130" spans="3:5" s="23" customFormat="1">
      <c r="C130" s="118" t="str">
        <f>B112</f>
        <v>Picking, cartage &amp; ginning</v>
      </c>
      <c r="D130" s="118"/>
      <c r="E130" s="109">
        <f>SUM(J113:J117)</f>
        <v>1355.3333333333335</v>
      </c>
    </row>
    <row r="131" spans="3:5" s="23" customFormat="1">
      <c r="C131" s="118" t="s">
        <v>122</v>
      </c>
      <c r="D131" s="118"/>
      <c r="E131" s="109">
        <f>J97+J99+J101+J103+J105+J107</f>
        <v>402.1</v>
      </c>
    </row>
    <row r="132" spans="3:5" s="23" customFormat="1">
      <c r="C132" s="118" t="s">
        <v>123</v>
      </c>
      <c r="D132" s="118"/>
      <c r="E132" s="109">
        <f>IF(J110=0,J109,J110)</f>
        <v>405</v>
      </c>
    </row>
    <row r="133" spans="3:5" s="23" customFormat="1">
      <c r="C133" s="118" t="str">
        <f>B94</f>
        <v>Irrigation costs (inc. pumping costs &amp; water fees)</v>
      </c>
      <c r="D133" s="118"/>
      <c r="E133" s="113">
        <f>J95</f>
        <v>530.94599999999991</v>
      </c>
    </row>
    <row r="134" spans="3:5" s="23" customFormat="1">
      <c r="C134" s="118" t="s">
        <v>124</v>
      </c>
      <c r="D134" s="118"/>
      <c r="E134" s="109">
        <f>SUM(J83:J92)</f>
        <v>140.07999999999998</v>
      </c>
    </row>
    <row r="135" spans="3:5" s="23" customFormat="1">
      <c r="C135" s="118" t="s">
        <v>125</v>
      </c>
      <c r="D135" s="118"/>
      <c r="E135" s="109">
        <f>SUM(J70:J80)</f>
        <v>200.78</v>
      </c>
    </row>
    <row r="136" spans="3:5" s="23" customFormat="1">
      <c r="C136" s="118" t="s">
        <v>126</v>
      </c>
      <c r="D136" s="118"/>
      <c r="E136" s="109">
        <f>SUM(J49:J67)</f>
        <v>315.69</v>
      </c>
    </row>
    <row r="137" spans="3:5" s="23" customFormat="1">
      <c r="C137" s="118" t="s">
        <v>64</v>
      </c>
      <c r="D137" s="118"/>
      <c r="E137" s="109">
        <f>SUM(J37:J46)</f>
        <v>985.90000000000009</v>
      </c>
    </row>
    <row r="138" spans="3:5" s="23" customFormat="1">
      <c r="C138" s="118" t="s">
        <v>58</v>
      </c>
      <c r="D138" s="118"/>
      <c r="E138" s="109">
        <f>SUM(J32:J34)</f>
        <v>144</v>
      </c>
    </row>
    <row r="139" spans="3:5" s="23" customFormat="1">
      <c r="C139" s="118" t="s">
        <v>127</v>
      </c>
      <c r="D139" s="118"/>
      <c r="E139" s="109">
        <f>SUM(J17:J29)</f>
        <v>216.8</v>
      </c>
    </row>
    <row r="140" spans="3:5" s="23" customFormat="1"/>
    <row r="141" spans="3:5" s="23" customFormat="1">
      <c r="E141" s="109"/>
    </row>
    <row r="142" spans="3:5" s="23" customFormat="1"/>
    <row r="143" spans="3:5" s="23" customFormat="1"/>
    <row r="144" spans="3:5"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pans="2:10" s="23" customFormat="1"/>
    <row r="178" spans="2:10" s="23" customFormat="1"/>
    <row r="179" spans="2:10" s="23" customFormat="1"/>
    <row r="180" spans="2:10" s="23" customFormat="1"/>
    <row r="181" spans="2:10" s="23" customFormat="1"/>
    <row r="182" spans="2:10">
      <c r="B182" s="23"/>
      <c r="C182" s="23"/>
      <c r="D182" s="23"/>
      <c r="E182" s="23"/>
      <c r="F182" s="23"/>
      <c r="G182" s="23"/>
      <c r="H182" s="23"/>
      <c r="I182" s="23"/>
      <c r="J182" s="23"/>
    </row>
  </sheetData>
  <sheetProtection sheet="1" objects="1" scenarios="1"/>
  <protectedRanges>
    <protectedRange sqref="G12:G13 D28:F29 F32:G32 E34:F34 F37:G42 D41:D42 D58:G61 E65:F67 E70:G73 D74:G77 E79:F80 E83:G87 D88:G89 E91:F92 F95 J97 J99 J101 I103 J105 E62:G63 E17:F27 E44:F46 E49:G57" name="Range1"/>
  </protectedRanges>
  <sortState xmlns:xlrd2="http://schemas.microsoft.com/office/spreadsheetml/2017/richdata2" ref="C129:E139">
    <sortCondition descending="1" ref="E129:E139"/>
  </sortState>
  <mergeCells count="3">
    <mergeCell ref="B6:J7"/>
    <mergeCell ref="F4:H5"/>
    <mergeCell ref="D2:I3"/>
  </mergeCells>
  <phoneticPr fontId="16" type="noConversion"/>
  <dataValidations count="1">
    <dataValidation allowBlank="1" showInputMessage="1" showErrorMessage="1" prompt="Difference is auto calculated in this cell" sqref="F124" xr:uid="{984D5243-A2E4-4239-86A7-6D19B62BFC27}"/>
  </dataValidations>
  <hyperlinks>
    <hyperlink ref="F124" r:id="rId1" xr:uid="{D413BA68-4829-4A8C-ADBA-ACAE8FF11F7F}"/>
  </hyperlinks>
  <pageMargins left="0.70866141732283472" right="0.70866141732283472" top="0.74803149606299213" bottom="0.74803149606299213" header="0.31496062992125984" footer="0.31496062992125984"/>
  <pageSetup paperSize="9" scale="60" fitToHeight="0"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868A-F6B6-4A01-A111-B41195873210}">
  <dimension ref="A1:AC176"/>
  <sheetViews>
    <sheetView topLeftCell="A85" workbookViewId="0">
      <selection activeCell="M137" sqref="M137"/>
    </sheetView>
  </sheetViews>
  <sheetFormatPr defaultRowHeight="16.5"/>
  <cols>
    <col min="1" max="1" width="1.625" customWidth="1"/>
    <col min="2" max="2" width="10.25" customWidth="1"/>
    <col min="3" max="3" width="6.75" customWidth="1"/>
    <col min="4" max="4" width="49.75" customWidth="1"/>
    <col min="5" max="5" width="11" customWidth="1"/>
    <col min="6" max="6" width="13" customWidth="1"/>
    <col min="7" max="7" width="10.625" customWidth="1"/>
  </cols>
  <sheetData>
    <row r="1" spans="1:29" s="23" customFormat="1" ht="8.25" customHeight="1"/>
    <row r="2" spans="1:29" s="21" customFormat="1" ht="15" customHeight="1">
      <c r="A2" s="22"/>
      <c r="B2" s="61"/>
      <c r="C2" s="62"/>
      <c r="D2" s="219" t="s">
        <v>28</v>
      </c>
      <c r="E2" s="219"/>
      <c r="F2" s="219"/>
      <c r="G2" s="219"/>
      <c r="H2" s="219"/>
      <c r="I2" s="219"/>
      <c r="J2" s="63"/>
      <c r="K2" s="22"/>
      <c r="L2" s="22"/>
      <c r="M2" s="56"/>
      <c r="N2" s="22"/>
      <c r="O2" s="22"/>
      <c r="P2" s="22"/>
      <c r="Q2" s="22"/>
      <c r="R2" s="22"/>
      <c r="S2" s="22"/>
      <c r="T2" s="22"/>
      <c r="U2" s="22"/>
      <c r="V2" s="22"/>
      <c r="W2" s="22"/>
      <c r="X2" s="22"/>
      <c r="Y2" s="22"/>
      <c r="Z2" s="22"/>
      <c r="AA2" s="22"/>
      <c r="AB2" s="22"/>
      <c r="AC2" s="22"/>
    </row>
    <row r="3" spans="1:29" s="21" customFormat="1" ht="21" customHeight="1">
      <c r="A3" s="22"/>
      <c r="B3" s="64"/>
      <c r="C3" s="57"/>
      <c r="D3" s="220"/>
      <c r="E3" s="220"/>
      <c r="F3" s="220"/>
      <c r="G3" s="220"/>
      <c r="H3" s="220"/>
      <c r="I3" s="220"/>
      <c r="J3" s="65"/>
      <c r="K3" s="22"/>
      <c r="L3" s="22"/>
      <c r="M3" s="56"/>
      <c r="N3" s="22"/>
      <c r="O3" s="22"/>
      <c r="P3" s="22"/>
      <c r="Q3" s="22"/>
      <c r="R3" s="22"/>
      <c r="S3" s="22"/>
      <c r="T3" s="22"/>
      <c r="U3" s="22"/>
      <c r="V3" s="22"/>
      <c r="W3" s="22"/>
      <c r="X3" s="22"/>
      <c r="Y3" s="22"/>
      <c r="Z3" s="22"/>
      <c r="AA3" s="22"/>
      <c r="AB3" s="22"/>
      <c r="AC3" s="22"/>
    </row>
    <row r="4" spans="1:29" s="21" customFormat="1" ht="10.15" customHeight="1">
      <c r="A4" s="22"/>
      <c r="B4" s="64"/>
      <c r="C4" s="57"/>
      <c r="D4" s="57"/>
      <c r="E4" s="57"/>
      <c r="F4" s="218" t="s">
        <v>29</v>
      </c>
      <c r="G4" s="218"/>
      <c r="H4" s="218"/>
      <c r="I4" s="58"/>
      <c r="J4" s="65"/>
      <c r="K4" s="22"/>
      <c r="L4" s="22"/>
      <c r="M4" s="56"/>
      <c r="N4" s="22"/>
      <c r="O4" s="22"/>
      <c r="P4" s="22"/>
      <c r="Q4" s="22"/>
      <c r="R4" s="22"/>
      <c r="S4" s="22"/>
      <c r="T4" s="22"/>
      <c r="U4" s="22"/>
      <c r="V4" s="22"/>
      <c r="W4" s="22"/>
      <c r="X4" s="22"/>
      <c r="Y4" s="22"/>
      <c r="Z4" s="22"/>
      <c r="AA4" s="22"/>
      <c r="AB4" s="22"/>
      <c r="AC4" s="22"/>
    </row>
    <row r="5" spans="1:29" s="21" customFormat="1" ht="15" customHeight="1">
      <c r="A5" s="22"/>
      <c r="B5" s="66"/>
      <c r="C5" s="59"/>
      <c r="D5" s="59"/>
      <c r="E5" s="60"/>
      <c r="F5" s="218"/>
      <c r="G5" s="218"/>
      <c r="H5" s="218"/>
      <c r="I5" s="58"/>
      <c r="J5" s="65"/>
      <c r="K5" s="22"/>
      <c r="L5" s="22"/>
      <c r="M5" s="56"/>
      <c r="N5" s="22"/>
      <c r="O5" s="22"/>
      <c r="P5" s="22"/>
      <c r="Q5" s="22"/>
      <c r="R5" s="22"/>
      <c r="S5" s="22"/>
      <c r="T5" s="22"/>
      <c r="U5" s="22"/>
      <c r="V5" s="22"/>
      <c r="W5" s="22"/>
      <c r="X5" s="22"/>
      <c r="Y5" s="22"/>
      <c r="Z5" s="22"/>
      <c r="AA5" s="22"/>
      <c r="AB5" s="22"/>
      <c r="AC5" s="22"/>
    </row>
    <row r="6" spans="1:29" s="21" customFormat="1" ht="14.25" customHeight="1">
      <c r="A6" s="22"/>
      <c r="B6" s="215" t="s">
        <v>30</v>
      </c>
      <c r="C6" s="216"/>
      <c r="D6" s="216"/>
      <c r="E6" s="216"/>
      <c r="F6" s="216"/>
      <c r="G6" s="216"/>
      <c r="H6" s="216"/>
      <c r="I6" s="216"/>
      <c r="J6" s="217"/>
      <c r="K6" s="22"/>
      <c r="L6" s="22"/>
      <c r="M6" s="56"/>
      <c r="N6" s="22"/>
      <c r="O6" s="22"/>
      <c r="P6" s="22"/>
      <c r="Q6" s="22"/>
      <c r="R6" s="22"/>
      <c r="S6" s="22"/>
      <c r="T6" s="22"/>
      <c r="U6" s="22"/>
      <c r="V6" s="22"/>
      <c r="W6" s="22"/>
      <c r="X6" s="22"/>
      <c r="Y6" s="22"/>
      <c r="Z6" s="22"/>
      <c r="AA6" s="22"/>
      <c r="AB6" s="22"/>
      <c r="AC6" s="22"/>
    </row>
    <row r="7" spans="1:29" s="21" customFormat="1" ht="14.25" customHeight="1">
      <c r="A7" s="22"/>
      <c r="B7" s="215"/>
      <c r="C7" s="216"/>
      <c r="D7" s="216"/>
      <c r="E7" s="216"/>
      <c r="F7" s="216"/>
      <c r="G7" s="216"/>
      <c r="H7" s="216"/>
      <c r="I7" s="216"/>
      <c r="J7" s="217"/>
      <c r="K7" s="22"/>
      <c r="L7" s="22"/>
      <c r="M7" s="56"/>
      <c r="N7" s="22"/>
      <c r="O7" s="22"/>
      <c r="P7" s="22"/>
      <c r="Q7" s="22"/>
      <c r="R7" s="22"/>
      <c r="S7" s="22"/>
      <c r="T7" s="22"/>
      <c r="U7" s="22"/>
      <c r="V7" s="22"/>
      <c r="W7" s="22"/>
      <c r="X7" s="22"/>
      <c r="Y7" s="22"/>
      <c r="Z7" s="22"/>
      <c r="AA7" s="22"/>
      <c r="AB7" s="22"/>
      <c r="AC7" s="22"/>
    </row>
    <row r="8" spans="1:29" s="21" customFormat="1" ht="14.25" customHeight="1">
      <c r="A8" s="22"/>
      <c r="B8" s="67"/>
      <c r="C8" s="70"/>
      <c r="D8" s="70"/>
      <c r="E8" s="70"/>
      <c r="F8" s="70"/>
      <c r="G8" s="68"/>
      <c r="H8" s="68"/>
      <c r="I8" s="68"/>
      <c r="J8" s="69" t="str">
        <f>'Gross Margin Comparison'!S3</f>
        <v>Last updated October 2025</v>
      </c>
      <c r="K8" s="22"/>
      <c r="L8" s="22"/>
      <c r="M8" s="56"/>
      <c r="N8" s="22"/>
      <c r="O8" s="22"/>
      <c r="P8" s="22"/>
      <c r="Q8" s="22"/>
      <c r="R8" s="22"/>
      <c r="S8" s="22"/>
      <c r="T8" s="22"/>
      <c r="U8" s="22"/>
      <c r="V8" s="22"/>
      <c r="W8" s="22"/>
      <c r="X8" s="22"/>
      <c r="Y8" s="22"/>
      <c r="Z8" s="22"/>
      <c r="AA8" s="22"/>
      <c r="AB8" s="22"/>
      <c r="AC8" s="22"/>
    </row>
    <row r="9" spans="1:29" s="22" customFormat="1" ht="15.75" customHeight="1">
      <c r="B9" s="25"/>
      <c r="C9" s="25"/>
      <c r="D9" s="25"/>
      <c r="E9" s="25"/>
      <c r="F9" s="25"/>
      <c r="G9" s="26"/>
      <c r="I9" s="71"/>
      <c r="J9" s="72" t="s">
        <v>32</v>
      </c>
      <c r="K9" s="27"/>
      <c r="L9" s="27"/>
      <c r="M9" s="28"/>
    </row>
    <row r="10" spans="1:29" s="23" customFormat="1" ht="18.75">
      <c r="B10" s="50" t="s">
        <v>33</v>
      </c>
      <c r="F10" s="30"/>
      <c r="G10" s="31"/>
      <c r="H10" s="31"/>
      <c r="I10" s="30"/>
      <c r="J10" s="31" t="s">
        <v>34</v>
      </c>
    </row>
    <row r="11" spans="1:29" s="23" customFormat="1">
      <c r="D11" s="54" t="s">
        <v>35</v>
      </c>
      <c r="E11" s="145">
        <f>cotton.yield2</f>
        <v>11</v>
      </c>
      <c r="F11" s="116" t="s">
        <v>36</v>
      </c>
      <c r="G11" s="148">
        <f>'Gross Margin Comparison'!C10</f>
        <v>573</v>
      </c>
      <c r="H11" s="149" t="s">
        <v>37</v>
      </c>
      <c r="I11" s="31"/>
      <c r="J11" s="51">
        <f>E11*G11</f>
        <v>6303</v>
      </c>
    </row>
    <row r="12" spans="1:29" s="23" customFormat="1">
      <c r="D12" s="54" t="s">
        <v>38</v>
      </c>
      <c r="E12" s="40"/>
      <c r="F12" s="116" t="s">
        <v>39</v>
      </c>
      <c r="G12" s="55">
        <v>93</v>
      </c>
      <c r="H12" s="150" t="s">
        <v>37</v>
      </c>
      <c r="I12" s="32"/>
      <c r="J12" s="51">
        <f>G12*E11</f>
        <v>1023</v>
      </c>
    </row>
    <row r="13" spans="1:29" s="23" customFormat="1">
      <c r="D13" s="54"/>
      <c r="E13" s="40"/>
      <c r="F13" s="116" t="s">
        <v>40</v>
      </c>
      <c r="G13" s="55">
        <v>-8</v>
      </c>
      <c r="H13" s="150" t="s">
        <v>37</v>
      </c>
      <c r="I13" s="32"/>
      <c r="J13" s="52">
        <f>G13*cotton.yield2</f>
        <v>-88</v>
      </c>
    </row>
    <row r="14" spans="1:29" s="23" customFormat="1">
      <c r="E14" s="32"/>
      <c r="F14" s="32"/>
      <c r="G14" s="221" t="s">
        <v>41</v>
      </c>
      <c r="H14" s="221"/>
      <c r="I14" s="221"/>
      <c r="J14" s="53">
        <f>SUM(J11:J13)</f>
        <v>7238</v>
      </c>
    </row>
    <row r="15" spans="1:29" s="23" customFormat="1" ht="19.5" thickBot="1">
      <c r="B15" s="50" t="s">
        <v>42</v>
      </c>
      <c r="E15" s="32"/>
      <c r="F15" s="32"/>
      <c r="G15" s="114">
        <f>SUM(G11:G12)</f>
        <v>666</v>
      </c>
      <c r="H15" s="32"/>
      <c r="I15" s="32"/>
      <c r="J15" s="32"/>
    </row>
    <row r="16" spans="1:29" s="23" customFormat="1">
      <c r="B16" s="77" t="s">
        <v>43</v>
      </c>
      <c r="C16" s="78"/>
      <c r="D16" s="78"/>
      <c r="E16" s="97" t="s">
        <v>44</v>
      </c>
      <c r="F16" s="97" t="s">
        <v>45</v>
      </c>
      <c r="G16" s="80"/>
      <c r="H16" s="80"/>
      <c r="I16" s="97" t="s">
        <v>46</v>
      </c>
      <c r="J16" s="102" t="s">
        <v>34</v>
      </c>
    </row>
    <row r="17" spans="2:11" s="23" customFormat="1">
      <c r="B17" s="83"/>
      <c r="C17" s="29"/>
      <c r="D17" s="73" t="s">
        <v>47</v>
      </c>
      <c r="E17" s="41">
        <v>0</v>
      </c>
      <c r="F17" s="42">
        <v>20</v>
      </c>
      <c r="G17" s="32"/>
      <c r="H17" s="32"/>
      <c r="I17" s="24">
        <f t="shared" ref="I17:I27" si="0">(J17/cotton.yield2)</f>
        <v>0</v>
      </c>
      <c r="J17" s="84">
        <f>E17*F17</f>
        <v>0</v>
      </c>
      <c r="K17" s="113"/>
    </row>
    <row r="18" spans="2:11" s="23" customFormat="1">
      <c r="B18" s="103"/>
      <c r="C18" s="29"/>
      <c r="D18" s="73" t="s">
        <v>48</v>
      </c>
      <c r="E18" s="41">
        <v>1</v>
      </c>
      <c r="F18" s="42">
        <v>27</v>
      </c>
      <c r="G18" s="32"/>
      <c r="H18" s="32"/>
      <c r="I18" s="24">
        <f t="shared" si="0"/>
        <v>2.4545454545454546</v>
      </c>
      <c r="J18" s="84">
        <f t="shared" ref="J18:J27" si="1">E18*F18</f>
        <v>27</v>
      </c>
    </row>
    <row r="19" spans="2:11" s="23" customFormat="1">
      <c r="B19" s="103"/>
      <c r="C19" s="29"/>
      <c r="D19" s="73" t="s">
        <v>49</v>
      </c>
      <c r="E19" s="41">
        <v>1</v>
      </c>
      <c r="F19" s="42">
        <v>17</v>
      </c>
      <c r="G19" s="32"/>
      <c r="H19" s="32"/>
      <c r="I19" s="24">
        <f t="shared" si="0"/>
        <v>1.5454545454545454</v>
      </c>
      <c r="J19" s="84">
        <f t="shared" si="1"/>
        <v>17</v>
      </c>
    </row>
    <row r="20" spans="2:11" s="23" customFormat="1">
      <c r="B20" s="103"/>
      <c r="C20" s="29"/>
      <c r="D20" s="73" t="s">
        <v>143</v>
      </c>
      <c r="E20" s="41">
        <v>1</v>
      </c>
      <c r="F20" s="42">
        <v>15</v>
      </c>
      <c r="G20" s="32"/>
      <c r="H20" s="32"/>
      <c r="I20" s="24">
        <f t="shared" ref="I20" si="2">(J20/cotton.yield)</f>
        <v>1.25</v>
      </c>
      <c r="J20" s="84">
        <f t="shared" si="1"/>
        <v>15</v>
      </c>
    </row>
    <row r="21" spans="2:11" s="23" customFormat="1">
      <c r="B21" s="103"/>
      <c r="C21" s="29"/>
      <c r="D21" s="73" t="s">
        <v>50</v>
      </c>
      <c r="E21" s="41">
        <v>1</v>
      </c>
      <c r="F21" s="42">
        <v>6</v>
      </c>
      <c r="G21" s="32"/>
      <c r="H21" s="32"/>
      <c r="I21" s="24">
        <f t="shared" si="0"/>
        <v>0.54545454545454541</v>
      </c>
      <c r="J21" s="84">
        <f t="shared" si="1"/>
        <v>6</v>
      </c>
    </row>
    <row r="22" spans="2:11" s="23" customFormat="1">
      <c r="B22" s="83"/>
      <c r="D22" s="73" t="s">
        <v>51</v>
      </c>
      <c r="E22" s="41">
        <v>1</v>
      </c>
      <c r="F22" s="42">
        <v>15</v>
      </c>
      <c r="G22" s="32"/>
      <c r="H22" s="32"/>
      <c r="I22" s="24">
        <f t="shared" si="0"/>
        <v>1.3636363636363635</v>
      </c>
      <c r="J22" s="84">
        <f t="shared" si="1"/>
        <v>15</v>
      </c>
    </row>
    <row r="23" spans="2:11" s="23" customFormat="1">
      <c r="B23" s="83"/>
      <c r="D23" s="73" t="s">
        <v>54</v>
      </c>
      <c r="E23" s="41">
        <v>1</v>
      </c>
      <c r="F23" s="42">
        <v>18</v>
      </c>
      <c r="G23" s="32"/>
      <c r="H23" s="32"/>
      <c r="I23" s="24">
        <f>(J23/cotton.yield2)</f>
        <v>1.6363636363636365</v>
      </c>
      <c r="J23" s="84">
        <f>E23*F23</f>
        <v>18</v>
      </c>
    </row>
    <row r="24" spans="2:11" s="23" customFormat="1">
      <c r="B24" s="83"/>
      <c r="D24" s="73" t="s">
        <v>52</v>
      </c>
      <c r="E24" s="41">
        <v>1</v>
      </c>
      <c r="F24" s="42">
        <v>24</v>
      </c>
      <c r="G24" s="32"/>
      <c r="H24" s="32"/>
      <c r="I24" s="24">
        <f t="shared" si="0"/>
        <v>2.1818181818181817</v>
      </c>
      <c r="J24" s="84">
        <f t="shared" si="1"/>
        <v>24</v>
      </c>
    </row>
    <row r="25" spans="2:11" s="23" customFormat="1">
      <c r="B25" s="83"/>
      <c r="D25" s="73" t="s">
        <v>53</v>
      </c>
      <c r="E25" s="43">
        <v>2</v>
      </c>
      <c r="F25" s="44">
        <v>8.4</v>
      </c>
      <c r="G25" s="32"/>
      <c r="H25" s="32"/>
      <c r="I25" s="24">
        <f t="shared" si="0"/>
        <v>1.5272727272727273</v>
      </c>
      <c r="J25" s="84">
        <f t="shared" si="1"/>
        <v>16.8</v>
      </c>
    </row>
    <row r="26" spans="2:11" s="23" customFormat="1">
      <c r="B26" s="83"/>
      <c r="D26" s="73" t="s">
        <v>55</v>
      </c>
      <c r="E26" s="41">
        <v>1</v>
      </c>
      <c r="F26" s="42">
        <v>70</v>
      </c>
      <c r="G26" s="32"/>
      <c r="H26" s="32"/>
      <c r="I26" s="24">
        <f t="shared" si="0"/>
        <v>6.3636363636363633</v>
      </c>
      <c r="J26" s="84">
        <f t="shared" si="1"/>
        <v>70</v>
      </c>
    </row>
    <row r="27" spans="2:11" s="23" customFormat="1" ht="16.5" customHeight="1">
      <c r="B27" s="83"/>
      <c r="D27" s="73" t="s">
        <v>56</v>
      </c>
      <c r="E27" s="41">
        <v>1</v>
      </c>
      <c r="F27" s="42">
        <v>8</v>
      </c>
      <c r="G27" s="32"/>
      <c r="H27" s="32"/>
      <c r="I27" s="24">
        <f t="shared" si="0"/>
        <v>0.72727272727272729</v>
      </c>
      <c r="J27" s="84">
        <f t="shared" si="1"/>
        <v>8</v>
      </c>
    </row>
    <row r="28" spans="2:11" s="23" customFormat="1" ht="16.5" customHeight="1">
      <c r="B28" s="83"/>
      <c r="D28" s="74" t="s">
        <v>57</v>
      </c>
      <c r="E28" s="43"/>
      <c r="F28" s="44"/>
      <c r="G28" s="32"/>
      <c r="H28" s="32"/>
      <c r="I28" s="24">
        <f t="shared" ref="I28:I29" si="3">(J28/cotton.yield2)</f>
        <v>0</v>
      </c>
      <c r="J28" s="84">
        <f t="shared" ref="J28:J29" si="4">E28*F28</f>
        <v>0</v>
      </c>
    </row>
    <row r="29" spans="2:11" s="23" customFormat="1" ht="16.5" customHeight="1" thickBot="1">
      <c r="B29" s="85"/>
      <c r="C29" s="86"/>
      <c r="D29" s="104" t="s">
        <v>57</v>
      </c>
      <c r="E29" s="88"/>
      <c r="F29" s="89"/>
      <c r="G29" s="90"/>
      <c r="H29" s="90"/>
      <c r="I29" s="24">
        <f t="shared" si="3"/>
        <v>0</v>
      </c>
      <c r="J29" s="92">
        <f t="shared" si="4"/>
        <v>0</v>
      </c>
    </row>
    <row r="30" spans="2:11" s="23" customFormat="1" ht="7.5" customHeight="1" thickBot="1">
      <c r="D30" s="75"/>
      <c r="E30" s="32"/>
      <c r="F30" s="36"/>
      <c r="G30" s="32"/>
      <c r="H30" s="32"/>
      <c r="I30" s="206"/>
      <c r="J30" s="24"/>
    </row>
    <row r="31" spans="2:11" s="23" customFormat="1" ht="16.5" customHeight="1">
      <c r="B31" s="77" t="s">
        <v>58</v>
      </c>
      <c r="C31" s="78"/>
      <c r="D31" s="96" t="s">
        <v>59</v>
      </c>
      <c r="E31" s="78"/>
      <c r="F31" s="97" t="s">
        <v>60</v>
      </c>
      <c r="G31" s="97" t="s">
        <v>61</v>
      </c>
      <c r="H31" s="80"/>
      <c r="I31" s="81"/>
      <c r="J31" s="82"/>
    </row>
    <row r="32" spans="2:11" s="23" customFormat="1" ht="16.5" customHeight="1">
      <c r="B32" s="83"/>
      <c r="D32" s="73" t="s">
        <v>38</v>
      </c>
      <c r="F32" s="42">
        <v>10</v>
      </c>
      <c r="G32" s="45">
        <v>13</v>
      </c>
      <c r="H32" s="32"/>
      <c r="I32" s="24">
        <f>(J32/cotton.yield2)</f>
        <v>11.818181818181818</v>
      </c>
      <c r="J32" s="84">
        <f>G32*F32</f>
        <v>130</v>
      </c>
    </row>
    <row r="33" spans="2:10" s="23" customFormat="1" ht="16.5" customHeight="1">
      <c r="B33" s="99"/>
      <c r="D33" s="76" t="s">
        <v>62</v>
      </c>
      <c r="E33" s="31" t="s">
        <v>44</v>
      </c>
      <c r="F33" s="31" t="s">
        <v>45</v>
      </c>
      <c r="G33" s="37"/>
      <c r="H33" s="32"/>
      <c r="I33" s="24"/>
      <c r="J33" s="84"/>
    </row>
    <row r="34" spans="2:10" s="23" customFormat="1" ht="16.5" customHeight="1" thickBot="1">
      <c r="B34" s="100"/>
      <c r="C34" s="86"/>
      <c r="D34" s="87" t="s">
        <v>63</v>
      </c>
      <c r="E34" s="94">
        <v>1</v>
      </c>
      <c r="F34" s="95">
        <v>14</v>
      </c>
      <c r="G34" s="101"/>
      <c r="H34" s="90"/>
      <c r="I34" s="91">
        <f>(J34/cotton.yield2)</f>
        <v>1.2727272727272727</v>
      </c>
      <c r="J34" s="92">
        <f>F34*E34</f>
        <v>14</v>
      </c>
    </row>
    <row r="35" spans="2:10" s="23" customFormat="1" ht="7.5" customHeight="1" thickBot="1">
      <c r="B35" s="33"/>
      <c r="D35" s="73"/>
      <c r="F35" s="35"/>
      <c r="G35" s="37"/>
      <c r="H35" s="32"/>
      <c r="I35" s="91"/>
      <c r="J35" s="24"/>
    </row>
    <row r="36" spans="2:10" s="23" customFormat="1" ht="16.5" customHeight="1">
      <c r="B36" s="77" t="s">
        <v>64</v>
      </c>
      <c r="C36" s="96"/>
      <c r="D36" s="96" t="s">
        <v>59</v>
      </c>
      <c r="E36" s="78"/>
      <c r="F36" s="97" t="s">
        <v>60</v>
      </c>
      <c r="G36" s="97" t="s">
        <v>61</v>
      </c>
      <c r="H36" s="80"/>
      <c r="I36" s="81"/>
      <c r="J36" s="82"/>
    </row>
    <row r="37" spans="2:10" s="23" customFormat="1" ht="16.5" customHeight="1">
      <c r="B37" s="83"/>
      <c r="C37" s="29"/>
      <c r="D37" s="73" t="s">
        <v>65</v>
      </c>
      <c r="F37" s="42">
        <v>1.5</v>
      </c>
      <c r="G37" s="45"/>
      <c r="H37" s="32"/>
      <c r="I37" s="24">
        <f t="shared" ref="I37:I42" si="5">(J37/cotton.yield2)</f>
        <v>0</v>
      </c>
      <c r="J37" s="84">
        <f t="shared" ref="J37:J42" si="6">G37*F37</f>
        <v>0</v>
      </c>
    </row>
    <row r="38" spans="2:10" s="23" customFormat="1" ht="16.5" customHeight="1">
      <c r="B38" s="83"/>
      <c r="C38" s="29" t="s">
        <v>0</v>
      </c>
      <c r="D38" s="73" t="s">
        <v>66</v>
      </c>
      <c r="F38" s="42">
        <v>1.1499999999999999</v>
      </c>
      <c r="G38" s="45">
        <v>510</v>
      </c>
      <c r="H38" s="32"/>
      <c r="I38" s="24">
        <f t="shared" si="5"/>
        <v>53.31818181818182</v>
      </c>
      <c r="J38" s="84">
        <f t="shared" si="6"/>
        <v>586.5</v>
      </c>
    </row>
    <row r="39" spans="2:10" s="23" customFormat="1" ht="16.5" customHeight="1">
      <c r="B39" s="83"/>
      <c r="C39" s="29"/>
      <c r="D39" s="73" t="s">
        <v>67</v>
      </c>
      <c r="F39" s="42">
        <v>1.56</v>
      </c>
      <c r="G39" s="45">
        <v>165</v>
      </c>
      <c r="H39" s="32"/>
      <c r="I39" s="24">
        <f t="shared" si="5"/>
        <v>23.400000000000002</v>
      </c>
      <c r="J39" s="84">
        <f t="shared" si="6"/>
        <v>257.40000000000003</v>
      </c>
    </row>
    <row r="40" spans="2:10" s="23" customFormat="1" ht="16.5" customHeight="1">
      <c r="B40" s="83"/>
      <c r="D40" s="73" t="s">
        <v>68</v>
      </c>
      <c r="F40" s="44">
        <v>1.01</v>
      </c>
      <c r="G40" s="46">
        <v>100</v>
      </c>
      <c r="H40" s="32"/>
      <c r="I40" s="24">
        <f t="shared" si="5"/>
        <v>9.1818181818181817</v>
      </c>
      <c r="J40" s="84">
        <f t="shared" si="6"/>
        <v>101</v>
      </c>
    </row>
    <row r="41" spans="2:10" s="23" customFormat="1" ht="16.5" customHeight="1">
      <c r="B41" s="83"/>
      <c r="D41" s="74" t="s">
        <v>57</v>
      </c>
      <c r="F41" s="44"/>
      <c r="G41" s="46"/>
      <c r="H41" s="32"/>
      <c r="I41" s="24">
        <f t="shared" si="5"/>
        <v>0</v>
      </c>
      <c r="J41" s="84">
        <f t="shared" si="6"/>
        <v>0</v>
      </c>
    </row>
    <row r="42" spans="2:10" s="23" customFormat="1" ht="16.5" customHeight="1">
      <c r="B42" s="83"/>
      <c r="D42" s="74" t="s">
        <v>57</v>
      </c>
      <c r="F42" s="44"/>
      <c r="G42" s="46"/>
      <c r="H42" s="32"/>
      <c r="I42" s="24">
        <f t="shared" si="5"/>
        <v>0</v>
      </c>
      <c r="J42" s="84">
        <f t="shared" si="6"/>
        <v>0</v>
      </c>
    </row>
    <row r="43" spans="2:10" s="23" customFormat="1" ht="16.5" customHeight="1">
      <c r="B43" s="83"/>
      <c r="D43" s="76" t="s">
        <v>62</v>
      </c>
      <c r="E43" s="31" t="s">
        <v>44</v>
      </c>
      <c r="F43" s="31" t="s">
        <v>45</v>
      </c>
      <c r="G43" s="32"/>
      <c r="H43" s="32"/>
      <c r="I43" s="24"/>
      <c r="J43" s="84"/>
    </row>
    <row r="44" spans="2:10" s="23" customFormat="1" ht="16.5" customHeight="1">
      <c r="B44" s="83"/>
      <c r="D44" s="73" t="s">
        <v>69</v>
      </c>
      <c r="E44" s="41">
        <v>1</v>
      </c>
      <c r="F44" s="42">
        <v>16</v>
      </c>
      <c r="G44" s="32"/>
      <c r="H44" s="32"/>
      <c r="I44" s="24">
        <f>(J44/cotton.yield2)</f>
        <v>1.4545454545454546</v>
      </c>
      <c r="J44" s="84">
        <f>E44*F44</f>
        <v>16</v>
      </c>
    </row>
    <row r="45" spans="2:10" s="23" customFormat="1" ht="16.5" customHeight="1">
      <c r="B45" s="83"/>
      <c r="D45" s="73" t="s">
        <v>70</v>
      </c>
      <c r="E45" s="41">
        <v>1</v>
      </c>
      <c r="F45" s="42">
        <v>9</v>
      </c>
      <c r="G45" s="32"/>
      <c r="H45" s="32"/>
      <c r="I45" s="24">
        <f>(J45/cotton.yield2)</f>
        <v>0.81818181818181823</v>
      </c>
      <c r="J45" s="84">
        <f>E45*F45</f>
        <v>9</v>
      </c>
    </row>
    <row r="46" spans="2:10" s="23" customFormat="1" ht="16.5" customHeight="1" thickBot="1">
      <c r="B46" s="85"/>
      <c r="C46" s="86"/>
      <c r="D46" s="87" t="s">
        <v>71</v>
      </c>
      <c r="E46" s="94">
        <v>1</v>
      </c>
      <c r="F46" s="95">
        <v>16</v>
      </c>
      <c r="G46" s="90"/>
      <c r="H46" s="90"/>
      <c r="I46" s="91">
        <f>(J46/cotton.yield2)</f>
        <v>1.4545454545454546</v>
      </c>
      <c r="J46" s="92">
        <f>E46*F46</f>
        <v>16</v>
      </c>
    </row>
    <row r="47" spans="2:10" s="23" customFormat="1" ht="7.5" customHeight="1" thickBot="1">
      <c r="D47" s="73"/>
      <c r="E47" s="34"/>
      <c r="F47" s="35"/>
      <c r="G47" s="32"/>
      <c r="H47" s="32"/>
      <c r="I47" s="24"/>
      <c r="J47" s="24"/>
    </row>
    <row r="48" spans="2:10" s="23" customFormat="1" ht="16.5" customHeight="1">
      <c r="B48" s="77" t="s">
        <v>72</v>
      </c>
      <c r="C48" s="78"/>
      <c r="D48" s="96" t="s">
        <v>59</v>
      </c>
      <c r="E48" s="97" t="s">
        <v>73</v>
      </c>
      <c r="F48" s="97" t="s">
        <v>74</v>
      </c>
      <c r="G48" s="97" t="s">
        <v>75</v>
      </c>
      <c r="H48" s="97"/>
      <c r="I48" s="81"/>
      <c r="J48" s="82"/>
    </row>
    <row r="49" spans="2:10" s="23" customFormat="1">
      <c r="B49" s="159" t="s">
        <v>76</v>
      </c>
      <c r="D49" s="73" t="s">
        <v>136</v>
      </c>
      <c r="E49" s="41">
        <v>2</v>
      </c>
      <c r="F49" s="42">
        <v>4</v>
      </c>
      <c r="G49" s="47">
        <v>2</v>
      </c>
      <c r="H49" s="35"/>
      <c r="I49" s="24">
        <f t="shared" ref="I49:I57" si="7">(J49/cotton.yield)</f>
        <v>1.3333333333333333</v>
      </c>
      <c r="J49" s="84">
        <f t="shared" ref="J49:J57" si="8">E49*G49*F49</f>
        <v>16</v>
      </c>
    </row>
    <row r="50" spans="2:10" s="23" customFormat="1">
      <c r="B50" s="159"/>
      <c r="D50" s="73" t="s">
        <v>78</v>
      </c>
      <c r="E50" s="41">
        <v>2</v>
      </c>
      <c r="F50" s="42">
        <v>147</v>
      </c>
      <c r="G50" s="47">
        <v>0.03</v>
      </c>
      <c r="H50" s="35"/>
      <c r="I50" s="24">
        <f t="shared" si="7"/>
        <v>0.73499999999999999</v>
      </c>
      <c r="J50" s="84">
        <f t="shared" si="8"/>
        <v>8.82</v>
      </c>
    </row>
    <row r="51" spans="2:10" s="23" customFormat="1">
      <c r="B51" s="159"/>
      <c r="D51" s="73" t="s">
        <v>79</v>
      </c>
      <c r="E51" s="41">
        <v>1</v>
      </c>
      <c r="F51" s="42">
        <v>5</v>
      </c>
      <c r="G51" s="47">
        <v>2</v>
      </c>
      <c r="H51" s="35"/>
      <c r="I51" s="24">
        <f t="shared" si="7"/>
        <v>0.83333333333333337</v>
      </c>
      <c r="J51" s="84">
        <f t="shared" si="8"/>
        <v>10</v>
      </c>
    </row>
    <row r="52" spans="2:10" s="23" customFormat="1">
      <c r="B52" s="159"/>
      <c r="D52" s="73" t="s">
        <v>144</v>
      </c>
      <c r="E52" s="41">
        <v>1</v>
      </c>
      <c r="F52" s="42">
        <v>7</v>
      </c>
      <c r="G52" s="47">
        <v>3.75</v>
      </c>
      <c r="H52" s="35"/>
      <c r="I52" s="24">
        <f t="shared" si="7"/>
        <v>2.1875</v>
      </c>
      <c r="J52" s="84">
        <f t="shared" si="8"/>
        <v>26.25</v>
      </c>
    </row>
    <row r="53" spans="2:10" s="23" customFormat="1">
      <c r="B53" s="98"/>
      <c r="D53" s="73" t="s">
        <v>81</v>
      </c>
      <c r="E53" s="41">
        <v>2</v>
      </c>
      <c r="F53" s="42">
        <v>11</v>
      </c>
      <c r="G53" s="47">
        <v>1.2</v>
      </c>
      <c r="H53" s="35"/>
      <c r="I53" s="24">
        <f>(J53/cotton.yield)</f>
        <v>2.1999999999999997</v>
      </c>
      <c r="J53" s="84">
        <f>E53*G53*F53</f>
        <v>26.4</v>
      </c>
    </row>
    <row r="54" spans="2:10" s="23" customFormat="1">
      <c r="B54" s="98"/>
      <c r="D54" s="73" t="s">
        <v>77</v>
      </c>
      <c r="E54" s="41">
        <v>2</v>
      </c>
      <c r="F54" s="42">
        <v>9</v>
      </c>
      <c r="G54" s="47">
        <v>1.2</v>
      </c>
      <c r="H54" s="35"/>
      <c r="I54" s="24">
        <f t="shared" si="7"/>
        <v>1.7999999999999998</v>
      </c>
      <c r="J54" s="84">
        <f t="shared" si="8"/>
        <v>21.599999999999998</v>
      </c>
    </row>
    <row r="55" spans="2:10" s="23" customFormat="1">
      <c r="B55" s="98"/>
      <c r="D55" s="73" t="s">
        <v>80</v>
      </c>
      <c r="E55" s="41">
        <v>1</v>
      </c>
      <c r="F55" s="42">
        <v>18</v>
      </c>
      <c r="G55" s="47">
        <v>2.25</v>
      </c>
      <c r="H55" s="35"/>
      <c r="I55" s="24">
        <f t="shared" si="7"/>
        <v>3.375</v>
      </c>
      <c r="J55" s="84">
        <f t="shared" si="8"/>
        <v>40.5</v>
      </c>
    </row>
    <row r="56" spans="2:10" s="23" customFormat="1">
      <c r="B56" s="98"/>
      <c r="D56" s="73" t="s">
        <v>82</v>
      </c>
      <c r="E56" s="41">
        <v>1</v>
      </c>
      <c r="F56" s="42">
        <v>9</v>
      </c>
      <c r="G56" s="47">
        <v>1</v>
      </c>
      <c r="H56" s="35"/>
      <c r="I56" s="24">
        <f t="shared" si="7"/>
        <v>0.75</v>
      </c>
      <c r="J56" s="84">
        <f t="shared" si="8"/>
        <v>9</v>
      </c>
    </row>
    <row r="57" spans="2:10" s="23" customFormat="1">
      <c r="B57" s="98"/>
      <c r="D57" s="73" t="s">
        <v>145</v>
      </c>
      <c r="E57" s="41">
        <v>1</v>
      </c>
      <c r="F57" s="42">
        <v>20</v>
      </c>
      <c r="G57" s="47">
        <v>1.17</v>
      </c>
      <c r="H57" s="35"/>
      <c r="I57" s="24">
        <f t="shared" si="7"/>
        <v>1.95</v>
      </c>
      <c r="J57" s="84">
        <f t="shared" si="8"/>
        <v>23.4</v>
      </c>
    </row>
    <row r="58" spans="2:10" s="23" customFormat="1" ht="16.5" customHeight="1">
      <c r="B58" s="98"/>
      <c r="D58" s="74" t="s">
        <v>57</v>
      </c>
      <c r="E58" s="41"/>
      <c r="F58" s="42"/>
      <c r="G58" s="41"/>
      <c r="H58" s="35"/>
      <c r="I58" s="24">
        <f t="shared" ref="I58:I63" si="9">(J58/cotton.yield2)</f>
        <v>0</v>
      </c>
      <c r="J58" s="84">
        <f t="shared" ref="J58:J59" si="10">E58*G58*F58</f>
        <v>0</v>
      </c>
    </row>
    <row r="59" spans="2:10" s="23" customFormat="1" ht="16.5" customHeight="1">
      <c r="B59" s="98"/>
      <c r="D59" s="74" t="s">
        <v>57</v>
      </c>
      <c r="E59" s="41"/>
      <c r="F59" s="42"/>
      <c r="G59" s="41"/>
      <c r="H59" s="35"/>
      <c r="I59" s="24">
        <f t="shared" ref="I59" si="11">(J59/cotton.yield2)</f>
        <v>0</v>
      </c>
      <c r="J59" s="84">
        <f t="shared" si="10"/>
        <v>0</v>
      </c>
    </row>
    <row r="60" spans="2:10" s="23" customFormat="1" ht="16.5" customHeight="1">
      <c r="B60" s="98"/>
      <c r="D60" s="74" t="s">
        <v>57</v>
      </c>
      <c r="E60" s="41"/>
      <c r="F60" s="42"/>
      <c r="G60" s="41"/>
      <c r="H60" s="35"/>
      <c r="I60" s="24">
        <f t="shared" si="9"/>
        <v>0</v>
      </c>
      <c r="J60" s="84">
        <f t="shared" ref="J60:J63" si="12">E60*G60*F60</f>
        <v>0</v>
      </c>
    </row>
    <row r="61" spans="2:10" s="23" customFormat="1" ht="16.5" customHeight="1">
      <c r="B61" s="98"/>
      <c r="D61" s="74" t="s">
        <v>57</v>
      </c>
      <c r="E61" s="41"/>
      <c r="F61" s="42"/>
      <c r="G61" s="41"/>
      <c r="H61" s="35"/>
      <c r="I61" s="24">
        <f t="shared" si="9"/>
        <v>0</v>
      </c>
      <c r="J61" s="84">
        <f t="shared" si="12"/>
        <v>0</v>
      </c>
    </row>
    <row r="62" spans="2:10" s="23" customFormat="1" ht="16.5" customHeight="1">
      <c r="B62" s="99" t="s">
        <v>83</v>
      </c>
      <c r="D62" s="73" t="s">
        <v>146</v>
      </c>
      <c r="E62" s="41">
        <v>1</v>
      </c>
      <c r="F62" s="42">
        <v>22</v>
      </c>
      <c r="G62" s="47">
        <v>0.06</v>
      </c>
      <c r="H62" s="32"/>
      <c r="I62" s="24">
        <f t="shared" si="9"/>
        <v>0.11999999999999998</v>
      </c>
      <c r="J62" s="84">
        <f t="shared" si="12"/>
        <v>1.3199999999999998</v>
      </c>
    </row>
    <row r="63" spans="2:10" s="23" customFormat="1" ht="16.5" customHeight="1">
      <c r="B63" s="99"/>
      <c r="D63" s="73" t="s">
        <v>147</v>
      </c>
      <c r="E63" s="41">
        <v>1</v>
      </c>
      <c r="F63" s="42">
        <v>22</v>
      </c>
      <c r="G63" s="47">
        <v>0.2</v>
      </c>
      <c r="H63" s="32"/>
      <c r="I63" s="24">
        <f t="shared" si="9"/>
        <v>0.4</v>
      </c>
      <c r="J63" s="84">
        <f t="shared" si="12"/>
        <v>4.4000000000000004</v>
      </c>
    </row>
    <row r="64" spans="2:10" s="23" customFormat="1" ht="16.5" customHeight="1">
      <c r="B64" s="83"/>
      <c r="D64" s="76" t="s">
        <v>62</v>
      </c>
      <c r="E64" s="31" t="s">
        <v>44</v>
      </c>
      <c r="F64" s="31" t="s">
        <v>45</v>
      </c>
      <c r="G64" s="38"/>
      <c r="H64" s="38"/>
      <c r="I64" s="24"/>
      <c r="J64" s="84"/>
    </row>
    <row r="65" spans="2:10" s="23" customFormat="1" ht="16.5" customHeight="1">
      <c r="B65" s="83"/>
      <c r="D65" s="73" t="s">
        <v>84</v>
      </c>
      <c r="E65" s="41">
        <v>0</v>
      </c>
      <c r="F65" s="42">
        <v>9</v>
      </c>
      <c r="G65" s="32"/>
      <c r="H65" s="32"/>
      <c r="I65" s="24">
        <f>(J65/cotton.yield2)</f>
        <v>0</v>
      </c>
      <c r="J65" s="84">
        <f>E65*F65</f>
        <v>0</v>
      </c>
    </row>
    <row r="66" spans="2:10" s="23" customFormat="1" ht="16.5" customHeight="1">
      <c r="B66" s="83"/>
      <c r="D66" s="73" t="s">
        <v>85</v>
      </c>
      <c r="E66" s="41">
        <v>4</v>
      </c>
      <c r="F66" s="42">
        <v>2</v>
      </c>
      <c r="G66" s="32"/>
      <c r="H66" s="32"/>
      <c r="I66" s="24">
        <f>(J66/cotton.yield2)</f>
        <v>0.72727272727272729</v>
      </c>
      <c r="J66" s="84">
        <f t="shared" ref="J66" si="13">E66*F66</f>
        <v>8</v>
      </c>
    </row>
    <row r="67" spans="2:10" s="23" customFormat="1" ht="16.5" customHeight="1" thickBot="1">
      <c r="B67" s="85"/>
      <c r="C67" s="86"/>
      <c r="D67" s="87" t="s">
        <v>86</v>
      </c>
      <c r="E67" s="94">
        <v>6</v>
      </c>
      <c r="F67" s="95">
        <v>20</v>
      </c>
      <c r="G67" s="90"/>
      <c r="H67" s="90"/>
      <c r="I67" s="91">
        <f>(J67/cotton.yield2)</f>
        <v>10.909090909090908</v>
      </c>
      <c r="J67" s="92">
        <f>E67*F67</f>
        <v>120</v>
      </c>
    </row>
    <row r="68" spans="2:10" s="23" customFormat="1" ht="7.5" customHeight="1" thickBot="1">
      <c r="D68" s="73"/>
      <c r="E68" s="34"/>
      <c r="F68" s="35"/>
      <c r="G68" s="32"/>
      <c r="H68" s="32"/>
      <c r="I68" s="24"/>
      <c r="J68" s="24"/>
    </row>
    <row r="69" spans="2:10" s="23" customFormat="1" ht="16.5" customHeight="1">
      <c r="B69" s="77" t="s">
        <v>87</v>
      </c>
      <c r="C69" s="78"/>
      <c r="D69" s="96" t="s">
        <v>59</v>
      </c>
      <c r="E69" s="97" t="s">
        <v>73</v>
      </c>
      <c r="F69" s="97" t="s">
        <v>74</v>
      </c>
      <c r="G69" s="97" t="s">
        <v>75</v>
      </c>
      <c r="H69" s="93"/>
      <c r="I69" s="81"/>
      <c r="J69" s="82"/>
    </row>
    <row r="70" spans="2:10" s="23" customFormat="1" ht="16.5" customHeight="1">
      <c r="B70" s="83"/>
      <c r="D70" s="73" t="s">
        <v>88</v>
      </c>
      <c r="E70" s="41">
        <v>1</v>
      </c>
      <c r="F70" s="42">
        <v>311</v>
      </c>
      <c r="G70" s="47">
        <v>0.14000000000000001</v>
      </c>
      <c r="H70" s="35"/>
      <c r="I70" s="24">
        <f t="shared" ref="I70:I77" si="14">(J70/cotton.yield2)</f>
        <v>3.9581818181818189</v>
      </c>
      <c r="J70" s="84">
        <f>E70*G70*F70</f>
        <v>43.540000000000006</v>
      </c>
    </row>
    <row r="71" spans="2:10" s="23" customFormat="1" ht="16.5" customHeight="1">
      <c r="B71" s="83"/>
      <c r="D71" s="73" t="s">
        <v>89</v>
      </c>
      <c r="E71" s="41">
        <v>1</v>
      </c>
      <c r="F71" s="42">
        <v>62</v>
      </c>
      <c r="G71" s="47">
        <v>7.0000000000000007E-2</v>
      </c>
      <c r="H71" s="35"/>
      <c r="I71" s="24">
        <f t="shared" si="14"/>
        <v>0.39454545454545459</v>
      </c>
      <c r="J71" s="84">
        <f>E71*G71*F71</f>
        <v>4.3400000000000007</v>
      </c>
    </row>
    <row r="72" spans="2:10" s="23" customFormat="1" ht="16.5" customHeight="1">
      <c r="B72" s="83"/>
      <c r="D72" s="73" t="s">
        <v>137</v>
      </c>
      <c r="E72" s="41">
        <v>1</v>
      </c>
      <c r="F72" s="42">
        <v>165</v>
      </c>
      <c r="G72" s="47">
        <v>0.4</v>
      </c>
      <c r="H72" s="35"/>
      <c r="I72" s="24">
        <f t="shared" si="14"/>
        <v>6</v>
      </c>
      <c r="J72" s="84">
        <f>E72*G72*F72</f>
        <v>66</v>
      </c>
    </row>
    <row r="73" spans="2:10" s="23" customFormat="1" ht="16.5" customHeight="1">
      <c r="B73" s="83"/>
      <c r="D73" s="73" t="s">
        <v>138</v>
      </c>
      <c r="E73" s="41">
        <v>1</v>
      </c>
      <c r="F73" s="44">
        <v>83</v>
      </c>
      <c r="G73" s="48">
        <v>0.3</v>
      </c>
      <c r="H73" s="36"/>
      <c r="I73" s="24">
        <f t="shared" si="14"/>
        <v>2.2636363636363637</v>
      </c>
      <c r="J73" s="84">
        <f>E73*G73*F73</f>
        <v>24.9</v>
      </c>
    </row>
    <row r="74" spans="2:10" s="23" customFormat="1" ht="16.5" customHeight="1">
      <c r="B74" s="83"/>
      <c r="D74" s="74" t="s">
        <v>57</v>
      </c>
      <c r="E74" s="41"/>
      <c r="F74" s="47"/>
      <c r="G74" s="42"/>
      <c r="H74" s="35"/>
      <c r="I74" s="24">
        <f t="shared" si="14"/>
        <v>0</v>
      </c>
      <c r="J74" s="84">
        <f t="shared" ref="J74" si="15">E74*F74*G74</f>
        <v>0</v>
      </c>
    </row>
    <row r="75" spans="2:10" s="23" customFormat="1" ht="16.5" customHeight="1">
      <c r="B75" s="83"/>
      <c r="D75" s="74" t="s">
        <v>57</v>
      </c>
      <c r="E75" s="41"/>
      <c r="F75" s="47"/>
      <c r="G75" s="42"/>
      <c r="H75" s="35"/>
      <c r="I75" s="24">
        <f t="shared" si="14"/>
        <v>0</v>
      </c>
      <c r="J75" s="84">
        <f t="shared" ref="J75:J77" si="16">E75*F75*G75</f>
        <v>0</v>
      </c>
    </row>
    <row r="76" spans="2:10" s="23" customFormat="1" ht="16.5" customHeight="1">
      <c r="B76" s="83"/>
      <c r="D76" s="74" t="s">
        <v>57</v>
      </c>
      <c r="E76" s="41"/>
      <c r="F76" s="47"/>
      <c r="G76" s="42"/>
      <c r="H76" s="35"/>
      <c r="I76" s="24">
        <f t="shared" si="14"/>
        <v>0</v>
      </c>
      <c r="J76" s="84">
        <f t="shared" si="16"/>
        <v>0</v>
      </c>
    </row>
    <row r="77" spans="2:10" s="23" customFormat="1" ht="16.5" customHeight="1">
      <c r="B77" s="83"/>
      <c r="D77" s="74" t="s">
        <v>57</v>
      </c>
      <c r="E77" s="41"/>
      <c r="F77" s="48"/>
      <c r="G77" s="49"/>
      <c r="H77" s="38"/>
      <c r="I77" s="24">
        <f t="shared" si="14"/>
        <v>0</v>
      </c>
      <c r="J77" s="84">
        <f t="shared" si="16"/>
        <v>0</v>
      </c>
    </row>
    <row r="78" spans="2:10" s="23" customFormat="1" ht="16.5" customHeight="1">
      <c r="B78" s="83"/>
      <c r="D78" s="76" t="s">
        <v>62</v>
      </c>
      <c r="E78" s="31" t="s">
        <v>44</v>
      </c>
      <c r="F78" s="31" t="s">
        <v>45</v>
      </c>
      <c r="G78" s="38"/>
      <c r="H78" s="38"/>
      <c r="I78" s="24"/>
      <c r="J78" s="84"/>
    </row>
    <row r="79" spans="2:10" s="23" customFormat="1" ht="16.5" customHeight="1">
      <c r="B79" s="83"/>
      <c r="D79" s="73" t="s">
        <v>85</v>
      </c>
      <c r="E79" s="41">
        <v>1</v>
      </c>
      <c r="F79" s="42">
        <v>2</v>
      </c>
      <c r="G79" s="32"/>
      <c r="H79" s="32"/>
      <c r="I79" s="24">
        <f>(J79/cotton.yield2)</f>
        <v>0.18181818181818182</v>
      </c>
      <c r="J79" s="84">
        <f t="shared" ref="J79" si="17">E79*F79</f>
        <v>2</v>
      </c>
    </row>
    <row r="80" spans="2:10" s="23" customFormat="1" ht="16.5" customHeight="1" thickBot="1">
      <c r="B80" s="85"/>
      <c r="C80" s="86"/>
      <c r="D80" s="87" t="s">
        <v>90</v>
      </c>
      <c r="E80" s="94">
        <v>3</v>
      </c>
      <c r="F80" s="95">
        <v>20</v>
      </c>
      <c r="G80" s="90"/>
      <c r="H80" s="90"/>
      <c r="I80" s="91">
        <f>(J80/cotton.yield2)</f>
        <v>5.4545454545454541</v>
      </c>
      <c r="J80" s="92">
        <f>E80*F80</f>
        <v>60</v>
      </c>
    </row>
    <row r="81" spans="2:10" s="23" customFormat="1" ht="7.5" customHeight="1" thickBot="1">
      <c r="E81" s="31"/>
      <c r="F81" s="31"/>
      <c r="G81" s="32"/>
      <c r="H81" s="32"/>
      <c r="I81" s="24"/>
      <c r="J81" s="24"/>
    </row>
    <row r="82" spans="2:10" s="23" customFormat="1" ht="16.5" customHeight="1">
      <c r="B82" s="77" t="s">
        <v>91</v>
      </c>
      <c r="C82" s="78"/>
      <c r="D82" s="96" t="s">
        <v>59</v>
      </c>
      <c r="E82" s="97" t="s">
        <v>73</v>
      </c>
      <c r="F82" s="97" t="s">
        <v>74</v>
      </c>
      <c r="G82" s="97" t="s">
        <v>75</v>
      </c>
      <c r="H82" s="80"/>
      <c r="I82" s="81"/>
      <c r="J82" s="82"/>
    </row>
    <row r="83" spans="2:10" s="23" customFormat="1" ht="16.5" customHeight="1">
      <c r="B83" s="83"/>
      <c r="D83" s="73" t="s">
        <v>139</v>
      </c>
      <c r="E83" s="41">
        <v>1</v>
      </c>
      <c r="F83" s="42">
        <v>94</v>
      </c>
      <c r="G83" s="47">
        <v>0.13</v>
      </c>
      <c r="H83" s="32"/>
      <c r="I83" s="24">
        <f t="shared" ref="I83:I89" si="18">(J83/cotton.yield2)</f>
        <v>1.1109090909090911</v>
      </c>
      <c r="J83" s="84">
        <f>E83*G83*F83</f>
        <v>12.22</v>
      </c>
    </row>
    <row r="84" spans="2:10" s="23" customFormat="1" ht="16.5" customHeight="1">
      <c r="B84" s="83"/>
      <c r="D84" s="73" t="s">
        <v>92</v>
      </c>
      <c r="E84" s="41">
        <v>1</v>
      </c>
      <c r="F84" s="42">
        <v>26</v>
      </c>
      <c r="G84" s="47">
        <v>0.15</v>
      </c>
      <c r="H84" s="32"/>
      <c r="I84" s="24">
        <f t="shared" si="18"/>
        <v>0.35454545454545455</v>
      </c>
      <c r="J84" s="84">
        <f>E84*G84*F84</f>
        <v>3.9</v>
      </c>
    </row>
    <row r="85" spans="2:10" s="23" customFormat="1" ht="16.5" customHeight="1">
      <c r="B85" s="83"/>
      <c r="D85" s="73" t="s">
        <v>140</v>
      </c>
      <c r="E85" s="41">
        <v>3</v>
      </c>
      <c r="F85" s="42">
        <v>10</v>
      </c>
      <c r="G85" s="47">
        <v>1.2</v>
      </c>
      <c r="H85" s="32"/>
      <c r="I85" s="24">
        <f t="shared" si="18"/>
        <v>3.2727272727272729</v>
      </c>
      <c r="J85" s="84">
        <f>E85*G85*F85</f>
        <v>36</v>
      </c>
    </row>
    <row r="86" spans="2:10" s="23" customFormat="1" ht="16.5" customHeight="1">
      <c r="B86" s="83"/>
      <c r="D86" s="73" t="s">
        <v>93</v>
      </c>
      <c r="E86" s="41">
        <v>3</v>
      </c>
      <c r="F86" s="44">
        <v>7</v>
      </c>
      <c r="G86" s="48">
        <v>1</v>
      </c>
      <c r="H86" s="32"/>
      <c r="I86" s="24">
        <f t="shared" si="18"/>
        <v>1.9090909090909092</v>
      </c>
      <c r="J86" s="84">
        <f>E86*G86*F86</f>
        <v>21</v>
      </c>
    </row>
    <row r="87" spans="2:10" s="23" customFormat="1" ht="16.5" customHeight="1">
      <c r="B87" s="83"/>
      <c r="D87" s="73" t="s">
        <v>94</v>
      </c>
      <c r="E87" s="41">
        <v>1</v>
      </c>
      <c r="F87" s="44">
        <v>87</v>
      </c>
      <c r="G87" s="48">
        <v>0.08</v>
      </c>
      <c r="H87" s="32"/>
      <c r="I87" s="24">
        <f t="shared" si="18"/>
        <v>0.63272727272727269</v>
      </c>
      <c r="J87" s="84">
        <f>E87*G87*F87</f>
        <v>6.96</v>
      </c>
    </row>
    <row r="88" spans="2:10" s="23" customFormat="1" ht="16.5" customHeight="1">
      <c r="B88" s="83"/>
      <c r="D88" s="74" t="s">
        <v>57</v>
      </c>
      <c r="E88" s="41"/>
      <c r="F88" s="48"/>
      <c r="G88" s="44"/>
      <c r="H88" s="32"/>
      <c r="I88" s="24">
        <f t="shared" si="18"/>
        <v>0</v>
      </c>
      <c r="J88" s="84">
        <f t="shared" ref="J88:J89" si="19">E88*F88*G88</f>
        <v>0</v>
      </c>
    </row>
    <row r="89" spans="2:10" s="23" customFormat="1" ht="16.5" customHeight="1">
      <c r="B89" s="83"/>
      <c r="D89" s="74" t="s">
        <v>57</v>
      </c>
      <c r="E89" s="41"/>
      <c r="F89" s="48"/>
      <c r="G89" s="44"/>
      <c r="H89" s="32"/>
      <c r="I89" s="24">
        <f t="shared" si="18"/>
        <v>0</v>
      </c>
      <c r="J89" s="84">
        <f t="shared" si="19"/>
        <v>0</v>
      </c>
    </row>
    <row r="90" spans="2:10" s="23" customFormat="1" ht="16.5" customHeight="1">
      <c r="B90" s="83"/>
      <c r="D90" s="76" t="s">
        <v>62</v>
      </c>
      <c r="E90" s="31" t="s">
        <v>44</v>
      </c>
      <c r="F90" s="31" t="s">
        <v>45</v>
      </c>
      <c r="G90" s="36"/>
      <c r="H90" s="32"/>
      <c r="I90" s="24"/>
      <c r="J90" s="84"/>
    </row>
    <row r="91" spans="2:10" s="23" customFormat="1" ht="16.5" customHeight="1">
      <c r="B91" s="83"/>
      <c r="D91" s="73" t="s">
        <v>95</v>
      </c>
      <c r="E91" s="41">
        <v>0</v>
      </c>
      <c r="F91" s="42">
        <v>3</v>
      </c>
      <c r="G91" s="32"/>
      <c r="H91" s="32"/>
      <c r="I91" s="24">
        <f>(J91/cotton.yield2)</f>
        <v>0</v>
      </c>
      <c r="J91" s="84">
        <f t="shared" ref="J91" si="20">E91*F91</f>
        <v>0</v>
      </c>
    </row>
    <row r="92" spans="2:10" s="23" customFormat="1" ht="16.5" customHeight="1" thickBot="1">
      <c r="B92" s="85"/>
      <c r="C92" s="86"/>
      <c r="D92" s="87" t="s">
        <v>96</v>
      </c>
      <c r="E92" s="88">
        <v>3</v>
      </c>
      <c r="F92" s="89">
        <v>20</v>
      </c>
      <c r="G92" s="90"/>
      <c r="H92" s="90"/>
      <c r="I92" s="91">
        <f>(J92/cotton.yield2)</f>
        <v>5.4545454545454541</v>
      </c>
      <c r="J92" s="92">
        <f>E92*F92</f>
        <v>60</v>
      </c>
    </row>
    <row r="93" spans="2:10" s="23" customFormat="1" ht="7.5" customHeight="1" thickBot="1">
      <c r="D93" s="73"/>
      <c r="E93" s="32"/>
      <c r="F93" s="36"/>
      <c r="G93" s="32"/>
      <c r="H93" s="32"/>
      <c r="I93" s="24"/>
      <c r="J93" s="24"/>
    </row>
    <row r="94" spans="2:10" s="23" customFormat="1" ht="16.5" customHeight="1">
      <c r="B94" s="77" t="s">
        <v>97</v>
      </c>
      <c r="C94" s="78"/>
      <c r="D94" s="78"/>
      <c r="E94" s="97" t="s">
        <v>98</v>
      </c>
      <c r="F94" s="97" t="s">
        <v>99</v>
      </c>
      <c r="G94" s="80"/>
      <c r="H94" s="80"/>
      <c r="I94" s="81"/>
      <c r="J94" s="82"/>
    </row>
    <row r="95" spans="2:10" s="23" customFormat="1" ht="16.5" customHeight="1" thickBot="1">
      <c r="B95" s="85"/>
      <c r="C95" s="86"/>
      <c r="D95" s="86"/>
      <c r="E95" s="132">
        <f>'Gross Margin Comparison'!E10</f>
        <v>5</v>
      </c>
      <c r="F95" s="95">
        <v>68.069999999999993</v>
      </c>
      <c r="G95" s="90"/>
      <c r="H95" s="90"/>
      <c r="I95" s="91">
        <f>J95/cotton.yield2</f>
        <v>30.940909090909088</v>
      </c>
      <c r="J95" s="92">
        <f>E95*F95</f>
        <v>340.34999999999997</v>
      </c>
    </row>
    <row r="96" spans="2:10" s="23" customFormat="1" ht="7.5" customHeight="1" thickBot="1">
      <c r="B96" s="33"/>
      <c r="E96" s="31"/>
      <c r="F96" s="35"/>
      <c r="G96" s="32"/>
      <c r="H96" s="32"/>
      <c r="I96" s="24"/>
      <c r="J96" s="24"/>
    </row>
    <row r="97" spans="2:10" s="23" customFormat="1" ht="16.5" customHeight="1">
      <c r="B97" s="77" t="s">
        <v>100</v>
      </c>
      <c r="C97" s="78"/>
      <c r="D97" s="78"/>
      <c r="E97" s="120"/>
      <c r="F97" s="93"/>
      <c r="G97" s="80"/>
      <c r="H97" s="80"/>
      <c r="I97" s="81"/>
      <c r="J97" s="121">
        <v>75</v>
      </c>
    </row>
    <row r="98" spans="2:10" s="23" customFormat="1" ht="7.5" customHeight="1">
      <c r="B98" s="83"/>
      <c r="E98" s="36"/>
      <c r="F98" s="32"/>
      <c r="G98" s="32"/>
      <c r="H98" s="32"/>
      <c r="I98" s="24"/>
      <c r="J98" s="84" t="s">
        <v>0</v>
      </c>
    </row>
    <row r="99" spans="2:10" s="23" customFormat="1" ht="16.5" customHeight="1">
      <c r="B99" s="99" t="s">
        <v>101</v>
      </c>
      <c r="E99" s="36"/>
      <c r="F99" s="32"/>
      <c r="G99" s="32"/>
      <c r="H99" s="32"/>
      <c r="I99" s="24"/>
      <c r="J99" s="122">
        <v>2.35</v>
      </c>
    </row>
    <row r="100" spans="2:10" s="23" customFormat="1" ht="7.5" customHeight="1">
      <c r="B100" s="83"/>
      <c r="E100" s="36"/>
      <c r="F100" s="32"/>
      <c r="G100" s="32"/>
      <c r="H100" s="32"/>
      <c r="I100" s="24"/>
      <c r="J100" s="84" t="s">
        <v>0</v>
      </c>
    </row>
    <row r="101" spans="2:10" s="23" customFormat="1" ht="16.5" customHeight="1">
      <c r="B101" s="99" t="s">
        <v>102</v>
      </c>
      <c r="E101" s="36"/>
      <c r="F101" s="32"/>
      <c r="G101" s="32"/>
      <c r="H101" s="32"/>
      <c r="I101" s="24"/>
      <c r="J101" s="122">
        <v>8.75</v>
      </c>
    </row>
    <row r="102" spans="2:10" s="23" customFormat="1" ht="7.5" customHeight="1">
      <c r="B102" s="83"/>
      <c r="E102" s="36"/>
      <c r="F102" s="32"/>
      <c r="G102" s="32"/>
      <c r="H102" s="32"/>
      <c r="I102" s="24"/>
      <c r="J102" s="84" t="s">
        <v>0</v>
      </c>
    </row>
    <row r="103" spans="2:10" s="23" customFormat="1" ht="16.5" customHeight="1">
      <c r="B103" s="99" t="s">
        <v>103</v>
      </c>
      <c r="E103" s="36"/>
      <c r="F103" s="32"/>
      <c r="G103" s="32"/>
      <c r="H103" s="32"/>
      <c r="I103" s="117">
        <v>2</v>
      </c>
      <c r="J103" s="84">
        <f>I103*cotton.yield2</f>
        <v>22</v>
      </c>
    </row>
    <row r="104" spans="2:10" s="23" customFormat="1" ht="7.5" customHeight="1">
      <c r="B104" s="83"/>
      <c r="E104" s="36"/>
      <c r="F104" s="32"/>
      <c r="G104" s="32"/>
      <c r="H104" s="32"/>
      <c r="I104" s="24"/>
      <c r="J104" s="84"/>
    </row>
    <row r="105" spans="2:10" s="23" customFormat="1" ht="16.5" customHeight="1">
      <c r="B105" s="99" t="s">
        <v>104</v>
      </c>
      <c r="E105" s="36"/>
      <c r="F105" s="32"/>
      <c r="G105" s="32"/>
      <c r="H105" s="32"/>
      <c r="I105" s="24"/>
      <c r="J105" s="122">
        <v>20</v>
      </c>
    </row>
    <row r="106" spans="2:10" s="23" customFormat="1" ht="7.5" customHeight="1">
      <c r="B106" s="98"/>
      <c r="E106" s="36"/>
      <c r="F106" s="32"/>
      <c r="G106" s="32"/>
      <c r="H106" s="32"/>
      <c r="I106" s="24"/>
      <c r="J106" s="84"/>
    </row>
    <row r="107" spans="2:10" s="23" customFormat="1" ht="16.5" customHeight="1">
      <c r="B107" s="99" t="s">
        <v>105</v>
      </c>
      <c r="E107" s="36"/>
      <c r="F107" s="32"/>
      <c r="G107" s="32"/>
      <c r="H107" s="32"/>
      <c r="I107" s="24"/>
      <c r="J107" s="122">
        <v>272</v>
      </c>
    </row>
    <row r="108" spans="2:10" s="23" customFormat="1" ht="7.5" customHeight="1">
      <c r="B108" s="98"/>
      <c r="E108" s="36"/>
      <c r="F108" s="32"/>
      <c r="G108" s="32"/>
      <c r="H108" s="32"/>
      <c r="I108" s="24"/>
      <c r="J108" s="84"/>
    </row>
    <row r="109" spans="2:10" s="23" customFormat="1" ht="16.5" customHeight="1">
      <c r="B109" s="99" t="s">
        <v>133</v>
      </c>
      <c r="E109" s="36"/>
      <c r="F109" s="32"/>
      <c r="G109" s="128" t="s">
        <v>132</v>
      </c>
      <c r="I109" s="24"/>
      <c r="J109" s="158">
        <v>405</v>
      </c>
    </row>
    <row r="110" spans="2:10" s="23" customFormat="1" ht="16.5" customHeight="1" thickBot="1">
      <c r="B110" s="100"/>
      <c r="C110" s="86"/>
      <c r="D110" s="86"/>
      <c r="E110" s="123"/>
      <c r="F110" s="90"/>
      <c r="G110" s="164" t="s">
        <v>106</v>
      </c>
      <c r="H110" s="86"/>
      <c r="I110" s="160">
        <v>0</v>
      </c>
      <c r="J110" s="92">
        <f>I110*cotton.yield2</f>
        <v>0</v>
      </c>
    </row>
    <row r="111" spans="2:10" s="23" customFormat="1" ht="7.5" customHeight="1" thickBot="1">
      <c r="E111" s="31"/>
      <c r="F111" s="31"/>
      <c r="G111" s="32"/>
      <c r="H111" s="32"/>
      <c r="I111" s="31"/>
      <c r="J111" s="31"/>
    </row>
    <row r="112" spans="2:10" s="23" customFormat="1" ht="16.5" customHeight="1">
      <c r="B112" s="77" t="s">
        <v>107</v>
      </c>
      <c r="C112" s="78"/>
      <c r="D112" s="78"/>
      <c r="E112" s="78"/>
      <c r="F112" s="78"/>
      <c r="G112" s="78"/>
      <c r="H112" s="78"/>
      <c r="I112" s="78"/>
      <c r="J112" s="124"/>
    </row>
    <row r="113" spans="2:10" s="23" customFormat="1" ht="16.5" customHeight="1">
      <c r="B113" s="83"/>
      <c r="C113" s="73" t="s">
        <v>108</v>
      </c>
      <c r="E113" s="34"/>
      <c r="F113" s="35"/>
      <c r="G113" s="32"/>
      <c r="H113" s="32"/>
      <c r="I113" s="125">
        <f>J113/cotton.yield2</f>
        <v>8.545454545454545</v>
      </c>
      <c r="J113" s="126">
        <v>94</v>
      </c>
    </row>
    <row r="114" spans="2:10" s="23" customFormat="1" ht="16.5" customHeight="1">
      <c r="B114" s="83"/>
      <c r="C114" s="73" t="s">
        <v>109</v>
      </c>
      <c r="E114" s="34"/>
      <c r="F114" s="42">
        <v>47</v>
      </c>
      <c r="G114" s="73" t="s">
        <v>110</v>
      </c>
      <c r="H114" s="32"/>
      <c r="I114" s="125">
        <f>F114/4.5</f>
        <v>10.444444444444445</v>
      </c>
      <c r="J114" s="127">
        <f>I114*cotton.yield2</f>
        <v>114.88888888888889</v>
      </c>
    </row>
    <row r="115" spans="2:10" s="23" customFormat="1" ht="16.5" customHeight="1">
      <c r="B115" s="83"/>
      <c r="C115" s="73" t="s">
        <v>111</v>
      </c>
      <c r="D115" s="128" t="s">
        <v>112</v>
      </c>
      <c r="E115" s="115">
        <v>50</v>
      </c>
      <c r="F115" s="42">
        <v>3.5</v>
      </c>
      <c r="G115" s="73" t="s">
        <v>113</v>
      </c>
      <c r="H115" s="42">
        <v>6</v>
      </c>
      <c r="I115" s="129" t="s">
        <v>114</v>
      </c>
      <c r="J115" s="127">
        <f>E115*F115+(cotton.yield2/4.5*H115)</f>
        <v>189.66666666666666</v>
      </c>
    </row>
    <row r="116" spans="2:10" s="23" customFormat="1" ht="16.5" customHeight="1">
      <c r="B116" s="83"/>
      <c r="C116" s="73" t="s">
        <v>115</v>
      </c>
      <c r="E116" s="34"/>
      <c r="F116" s="35"/>
      <c r="G116" s="130"/>
      <c r="H116" s="32"/>
      <c r="I116" s="131">
        <v>75</v>
      </c>
      <c r="J116" s="127">
        <f>I116*cotton.yield2</f>
        <v>825</v>
      </c>
    </row>
    <row r="117" spans="2:10" s="23" customFormat="1" ht="16.5" customHeight="1" thickBot="1">
      <c r="B117" s="85"/>
      <c r="C117" s="87" t="s">
        <v>116</v>
      </c>
      <c r="D117" s="86"/>
      <c r="E117" s="132"/>
      <c r="F117" s="119" t="s">
        <v>0</v>
      </c>
      <c r="G117" s="90"/>
      <c r="H117" s="90"/>
      <c r="I117" s="133">
        <v>3.75</v>
      </c>
      <c r="J117" s="134">
        <f>I117*cotton.yield2</f>
        <v>41.25</v>
      </c>
    </row>
    <row r="118" spans="2:10" s="23" customFormat="1" ht="7.5" customHeight="1" thickBot="1">
      <c r="C118" s="73"/>
      <c r="E118" s="34"/>
      <c r="F118" s="35"/>
      <c r="G118" s="32"/>
      <c r="H118" s="32"/>
      <c r="I118" s="136"/>
      <c r="J118" s="135"/>
    </row>
    <row r="119" spans="2:10" s="23" customFormat="1" ht="16.5" customHeight="1">
      <c r="B119" s="77" t="s">
        <v>117</v>
      </c>
      <c r="C119" s="78"/>
      <c r="D119" s="79"/>
      <c r="E119" s="137"/>
      <c r="F119" s="93"/>
      <c r="G119" s="80"/>
      <c r="H119" s="80"/>
      <c r="I119" s="138"/>
      <c r="J119" s="156"/>
    </row>
    <row r="120" spans="2:10" s="23" customFormat="1" ht="16.5" customHeight="1" thickBot="1">
      <c r="B120" s="139" t="s">
        <v>118</v>
      </c>
      <c r="C120" s="86"/>
      <c r="D120" s="86"/>
      <c r="E120" s="90"/>
      <c r="F120" s="90"/>
      <c r="G120" s="90"/>
      <c r="H120" s="140"/>
      <c r="I120" s="86"/>
      <c r="J120" s="157">
        <v>0</v>
      </c>
    </row>
    <row r="121" spans="2:10" s="23" customFormat="1" ht="16.5" customHeight="1">
      <c r="B121" s="110"/>
      <c r="E121" s="32"/>
      <c r="F121" s="32"/>
      <c r="G121" s="32"/>
      <c r="H121" s="39"/>
      <c r="I121" s="31" t="s">
        <v>46</v>
      </c>
      <c r="J121" s="31" t="s">
        <v>34</v>
      </c>
    </row>
    <row r="122" spans="2:10" s="23" customFormat="1" ht="16.5" customHeight="1">
      <c r="H122" s="143" t="s">
        <v>119</v>
      </c>
      <c r="I122" s="53">
        <f>J122/cotton.yield2</f>
        <v>401.22777777777776</v>
      </c>
      <c r="J122" s="53">
        <f>SUM(J17:J120)</f>
        <v>4413.5055555555555</v>
      </c>
    </row>
    <row r="123" spans="2:10" s="23" customFormat="1" ht="16.5" customHeight="1">
      <c r="C123" s="190" t="s">
        <v>131</v>
      </c>
      <c r="H123" s="143"/>
    </row>
    <row r="124" spans="2:10" s="23" customFormat="1" ht="16.5" customHeight="1">
      <c r="C124" s="190" t="s">
        <v>134</v>
      </c>
      <c r="F124" s="162" t="s">
        <v>18</v>
      </c>
    </row>
    <row r="125" spans="2:10" s="23" customFormat="1" ht="16.5" customHeight="1"/>
    <row r="126" spans="2:10" s="23" customFormat="1" ht="16.5" customHeight="1">
      <c r="B126" s="111"/>
      <c r="E126" s="112"/>
    </row>
    <row r="127" spans="2:10" s="23" customFormat="1" ht="16.5" customHeight="1">
      <c r="C127" s="118"/>
      <c r="D127" s="118"/>
      <c r="E127" s="109"/>
    </row>
    <row r="128" spans="2:10" s="23" customFormat="1" ht="16.5" customHeight="1">
      <c r="C128" s="118"/>
      <c r="D128" s="118"/>
      <c r="E128" s="109"/>
    </row>
    <row r="129" spans="2:5" s="23" customFormat="1" ht="16.5" customHeight="1">
      <c r="C129" s="118"/>
      <c r="D129" s="118"/>
      <c r="E129" s="109"/>
    </row>
    <row r="130" spans="2:5" s="23" customFormat="1" ht="16.5" customHeight="1">
      <c r="B130" s="111" t="s">
        <v>120</v>
      </c>
      <c r="E130" s="112" t="s">
        <v>121</v>
      </c>
    </row>
    <row r="131" spans="2:5" s="23" customFormat="1" ht="16.5" customHeight="1">
      <c r="C131" s="118" t="s">
        <v>117</v>
      </c>
      <c r="D131" s="118"/>
      <c r="E131" s="109">
        <f>J120</f>
        <v>0</v>
      </c>
    </row>
    <row r="132" spans="2:5" s="23" customFormat="1" ht="16.5" customHeight="1">
      <c r="C132" s="118" t="s">
        <v>107</v>
      </c>
      <c r="D132" s="118"/>
      <c r="E132" s="109">
        <f>SUM(J113:J117)</f>
        <v>1264.8055555555557</v>
      </c>
    </row>
    <row r="133" spans="2:5" s="23" customFormat="1" ht="16.5" customHeight="1">
      <c r="C133" s="118" t="s">
        <v>122</v>
      </c>
      <c r="D133" s="118"/>
      <c r="E133" s="113">
        <f>J97+J99+J101+J103+J105+J107</f>
        <v>400.1</v>
      </c>
    </row>
    <row r="134" spans="2:5" s="23" customFormat="1">
      <c r="C134" s="118" t="s">
        <v>123</v>
      </c>
      <c r="D134" s="118"/>
      <c r="E134" s="109">
        <f>IF(J109=0,J110,J109)</f>
        <v>405</v>
      </c>
    </row>
    <row r="135" spans="2:5" s="23" customFormat="1">
      <c r="C135" s="118" t="s">
        <v>97</v>
      </c>
      <c r="D135" s="118"/>
      <c r="E135" s="113">
        <f>J95</f>
        <v>340.34999999999997</v>
      </c>
    </row>
    <row r="136" spans="2:5" s="23" customFormat="1">
      <c r="C136" s="118" t="s">
        <v>124</v>
      </c>
      <c r="D136" s="118"/>
      <c r="E136" s="109">
        <f>SUM(J83:J92)</f>
        <v>140.07999999999998</v>
      </c>
    </row>
    <row r="137" spans="2:5" s="23" customFormat="1">
      <c r="C137" s="118" t="s">
        <v>125</v>
      </c>
      <c r="D137" s="118"/>
      <c r="E137" s="109">
        <f>SUM(J70:J80)</f>
        <v>200.78</v>
      </c>
    </row>
    <row r="138" spans="2:5" s="23" customFormat="1">
      <c r="C138" s="118" t="s">
        <v>126</v>
      </c>
      <c r="D138" s="118"/>
      <c r="E138" s="109">
        <f>SUM(J58:J67)</f>
        <v>133.72</v>
      </c>
    </row>
    <row r="139" spans="2:5" s="23" customFormat="1">
      <c r="C139" s="118" t="s">
        <v>64</v>
      </c>
      <c r="D139" s="118"/>
      <c r="E139" s="109">
        <f>SUM(J37:J46)</f>
        <v>985.90000000000009</v>
      </c>
    </row>
    <row r="140" spans="2:5" s="23" customFormat="1">
      <c r="C140" s="118" t="s">
        <v>58</v>
      </c>
      <c r="D140" s="118"/>
      <c r="E140" s="109">
        <f>SUM(J32:J34)</f>
        <v>144</v>
      </c>
    </row>
    <row r="141" spans="2:5" s="23" customFormat="1">
      <c r="C141" s="118" t="s">
        <v>127</v>
      </c>
      <c r="D141" s="118"/>
      <c r="E141" s="109">
        <f>SUM(J17:J29)</f>
        <v>216.8</v>
      </c>
    </row>
    <row r="142" spans="2:5" s="23" customFormat="1"/>
    <row r="143" spans="2:5" s="23" customFormat="1"/>
    <row r="144" spans="2:5"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sheetData>
  <sheetProtection sheet="1" objects="1" scenarios="1"/>
  <protectedRanges>
    <protectedRange sqref="G12:G13 D28:F29 F32:G32 E34:F34 D58:G59 E65:F67 F95 J97 J99 J101 I103 J105 J107 E60:G63 D60:D61" name="Range1"/>
    <protectedRange sqref="E17:F19 E21:F27" name="Range1_1"/>
    <protectedRange sqref="F37:G42 D41:D42 E44:F46" name="Range1_2"/>
    <protectedRange sqref="E70:E73 D74:G77 E79:F80 G70:G73" name="Range1_3"/>
    <protectedRange sqref="D88:G89 E91:F92" name="Range1_4"/>
    <protectedRange sqref="E20:F20" name="Range1_5"/>
    <protectedRange sqref="E49:G57" name="Range1_6"/>
    <protectedRange sqref="F70:F73" name="Range1_8"/>
    <protectedRange sqref="E83:G87" name="Range1_9"/>
  </protectedRanges>
  <mergeCells count="4">
    <mergeCell ref="G14:I14"/>
    <mergeCell ref="D2:I3"/>
    <mergeCell ref="F4:H5"/>
    <mergeCell ref="B6:J7"/>
  </mergeCells>
  <dataValidations count="1">
    <dataValidation allowBlank="1" showInputMessage="1" showErrorMessage="1" prompt="Difference is auto calculated in this cell" sqref="F124" xr:uid="{F660D576-2195-437B-BD15-9F7E0E2B6F43}"/>
  </dataValidations>
  <hyperlinks>
    <hyperlink ref="F124" r:id="rId1" xr:uid="{509162D6-D455-4F27-8D80-F21C68AD4546}"/>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4B937B993AA44198AC65C71CC7B578" ma:contentTypeVersion="12" ma:contentTypeDescription="Create a new document." ma:contentTypeScope="" ma:versionID="30a263ec3b0d596b0b7e15adc9211bc5">
  <xsd:schema xmlns:xsd="http://www.w3.org/2001/XMLSchema" xmlns:xs="http://www.w3.org/2001/XMLSchema" xmlns:p="http://schemas.microsoft.com/office/2006/metadata/properties" xmlns:ns2="7389ad91-72c6-449f-8eb3-f4a716e61a84" xmlns:ns3="d4c10c4a-65ae-4953-893d-cd34958bdb90" targetNamespace="http://schemas.microsoft.com/office/2006/metadata/properties" ma:root="true" ma:fieldsID="a17614167f2cb46a0768ed7755b2247d" ns2:_="" ns3:_="">
    <xsd:import namespace="7389ad91-72c6-449f-8eb3-f4a716e61a84"/>
    <xsd:import namespace="d4c10c4a-65ae-4953-893d-cd34958bd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9ad91-72c6-449f-8eb3-f4a716e61a8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eef50ea-d992-4d25-8376-3788d899a21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c10c4a-65ae-4953-893d-cd34958bd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75c0d6f-130d-4c61-962f-f9f9e49e246f}" ma:internalName="TaxCatchAll" ma:showField="CatchAllData" ma:web="d4c10c4a-65ae-4953-893d-cd34958bdb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4 n u 8 V I S k 5 g y k A A A A 9 g A A A B I A H A B D b 2 5 m a W c v U G F j a 2 F n Z S 5 4 b W w g o h g A K K A U A A A A A A A A A A A A A A A A A A A A A A A A A A A A h Y 9 B D o I w F E S v Q r q n L U U T Q 0 q J c S u J i d G 4 b U q F R v g Y W i x 3 c + G R v I I Y R d 2 5 n D d v M X O / 3 n g 2 N H V w 0 Z 0 1 L a Q o w h Q F G l R b G C h T 1 L t j u E C Z 4 B u p T r L U w S i D T Q Z b p K h y 7 p w Q 4 r 3 H P s Z t V x J G a U Q O + X q r K t 1 I 9 J H N f z k 0 Y J 0 E p Z H g + 9 c Y w X B E 5 z i e M U w 5 m S D P D X w F N u 5 9 t j + Q r / r a 9 Z 0 W G s L l j p M p c v L + I B 5 Q S w M E F A A C A A g A 4 n u 8 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J 7 v F Q o i k e 4 D g A A A B E A A A A T A B w A R m 9 y b X V s Y X M v U 2 V j d G l v b j E u b S C i G A A o o B Q A A A A A A A A A A A A A A A A A A A A A A A A A A A A r T k 0 u y c z P U w i G 0 I b W A F B L A Q I t A B Q A A g A I A O J 7 v F S E p O Y M p A A A A P Y A A A A S A A A A A A A A A A A A A A A A A A A A A A B D b 2 5 m a W c v U G F j a 2 F n Z S 5 4 b W x Q S w E C L Q A U A A I A C A D i e 7 x U D 8 r p q 6 Q A A A D p A A A A E w A A A A A A A A A A A A A A A A D w A A A A W 0 N v b n R l b n R f V H l w Z X N d L n h t b F B L A Q I t A B Q A A g A I A O J 7 v 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w o u Y u n C k O R K Q R o r R r / r 6 T A A A A A A I A A A A A A B B m A A A A A Q A A I A A A A O H k c M + x I A E n Y B m H W l M L o O P Z 3 T p s W n 0 9 M R L S y Y l w n S + H A A A A A A 6 A A A A A A g A A I A A A A B 7 U 5 M U t V I r T I j 8 w z v R 1 c o D I M U D x O + c A z 7 g G a a C y K P k o U A A A A G 5 1 e K M o 0 e A + i A i + 8 B w 7 K K z D F j u s f f 0 u 2 H s E k y i Q n P X 3 S a z E r y L q 0 Z J + 9 o W u D H 1 / 6 I c i s 8 5 d E f 5 b C 1 L 8 7 Y l 0 p M O J 6 y f N g X N n r f o i T V 5 v y b 7 J Q A A A A B s E M J 6 I Y w u j P G X b k J g R e J g t I E + H X p i A y t b o b 4 D + z 3 u P a T Q Z B e i W p e g P + S W d 2 X r F z l 2 D i 9 e i Y G x L 3 i N z B c n 1 v p M = < / 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d4c10c4a-65ae-4953-893d-cd34958bdb90" xsi:nil="true"/>
    <lcf76f155ced4ddcb4097134ff3c332f xmlns="7389ad91-72c6-449f-8eb3-f4a716e61a8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E6EC77-BB62-4B59-A4DB-AF5558D46CB0}"/>
</file>

<file path=customXml/itemProps2.xml><?xml version="1.0" encoding="utf-8"?>
<ds:datastoreItem xmlns:ds="http://schemas.openxmlformats.org/officeDocument/2006/customXml" ds:itemID="{99E81E75-547E-4758-A650-4173721B9869}">
  <ds:schemaRefs>
    <ds:schemaRef ds:uri="http://schemas.microsoft.com/DataMashup"/>
  </ds:schemaRefs>
</ds:datastoreItem>
</file>

<file path=customXml/itemProps3.xml><?xml version="1.0" encoding="utf-8"?>
<ds:datastoreItem xmlns:ds="http://schemas.openxmlformats.org/officeDocument/2006/customXml" ds:itemID="{31FB2983-58F3-48A1-BB27-DB45B69DC916}">
  <ds:schemaRefs>
    <ds:schemaRef ds:uri="http://schemas.microsoft.com/office/2006/metadata/properties"/>
    <ds:schemaRef ds:uri="http://schemas.microsoft.com/office/infopath/2007/PartnerControls"/>
    <ds:schemaRef ds:uri="71af3243-3dd4-4a8d-8c0d-dd76da1f02a5"/>
    <ds:schemaRef ds:uri="feab6ad9-db6c-47c9-a21c-250af455d891"/>
    <ds:schemaRef ds:uri="fd0bc927-0957-41f5-8154-91c69f326668"/>
  </ds:schemaRefs>
</ds:datastoreItem>
</file>

<file path=customXml/itemProps4.xml><?xml version="1.0" encoding="utf-8"?>
<ds:datastoreItem xmlns:ds="http://schemas.openxmlformats.org/officeDocument/2006/customXml" ds:itemID="{B615DA62-1478-4C67-8C00-ECCA5AAAED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TM16410230</Templat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Gross Margin Comparison</vt:lpstr>
      <vt:lpstr>Cotton#1</vt:lpstr>
      <vt:lpstr>Cotton#2</vt:lpstr>
      <vt:lpstr>cotton.yield</vt:lpstr>
      <vt:lpstr>cotton.yield2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2019-04-29T21:26:03Z</dcterms:created>
  <dcterms:modified xsi:type="dcterms:W3CDTF">2025-09-22T11:13:55Z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0x010100A44B937B993AA44198AC65C71CC7B578</vt:lpwstr>
  </property>
  <property fmtid="{D5CDD505-2E9C-101B-9397-08002B2CF9AE}" pid="3" name="MediaServiceImageTags">
    <vt:lpwstr/>
  </property>
</Properties>
</file>